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drawings/drawing2.xml" ContentType="application/vnd.openxmlformats-officedocument.drawing+xml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drawings/drawing3.xml" ContentType="application/vnd.openxmlformats-officedocument.drawing+xml"/>
  <Override PartName="/xl/embeddings/oleObject12.bin" ContentType="application/vnd.openxmlformats-officedocument.oleObject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embeddings/oleObject13.bin" ContentType="application/vnd.openxmlformats-officedocument.oleObject"/>
  <Override PartName="/xl/ctrlProps/ctrlProp3.xml" ContentType="application/vnd.ms-excel.controlproperties+xml"/>
  <Override PartName="/xl/ctrlProps/ctrlProp4.xml" ContentType="application/vnd.ms-excel.controlproperties+xml"/>
  <Override PartName="/xl/drawings/drawing5.xml" ContentType="application/vnd.openxmlformats-officedocument.drawing+xml"/>
  <Override PartName="/xl/embeddings/oleObject14.bin" ContentType="application/vnd.openxmlformats-officedocument.oleObject"/>
  <Override PartName="/xl/ctrlProps/ctrlProp5.xml" ContentType="application/vnd.ms-excel.controlproperties+xml"/>
  <Override PartName="/xl/ctrlProps/ctrlProp6.xml" ContentType="application/vnd.ms-excel.controlproperties+xml"/>
  <Override PartName="/xl/drawings/drawing6.xml" ContentType="application/vnd.openxmlformats-officedocument.drawing+xml"/>
  <Override PartName="/xl/embeddings/oleObject15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nsorziobonificaromagna-my.sharepoint.com/personal/r_rivalta_bonificaromagna_it/Documents/Desktop/"/>
    </mc:Choice>
  </mc:AlternateContent>
  <xr:revisionPtr revIDLastSave="11" documentId="8_{4C9AC5E9-D14E-4047-81B5-389552006104}" xr6:coauthVersionLast="47" xr6:coauthVersionMax="47" xr10:uidLastSave="{51702574-21B2-4064-B21F-AE328CAD5A5B}"/>
  <workbookProtection workbookAlgorithmName="SHA-512" workbookHashValue="hpaCO/x9zkKg87YaIJ7l1pdiQz3ed+AFFp1GVlyixLdw+2A6BpFbNhEXgUH5Q6CedQt4EOKC0DPEUvK6hYNZkg==" workbookSaltValue="OZRpLvrSpnbgv73/AWwMGA==" workbookSpinCount="100000" lockStructure="1"/>
  <bookViews>
    <workbookView xWindow="-120" yWindow="-120" windowWidth="29040" windowHeight="18240" tabRatio="785" activeTab="1" xr2:uid="{00000000-000D-0000-FFFF-FFFF00000000}"/>
  </bookViews>
  <sheets>
    <sheet name="Calcolo portata Atot&gt;1 Kmq" sheetId="23" r:id="rId1"/>
    <sheet name="Calcolo portata Atot&lt;1 Kmq" sheetId="48" r:id="rId2"/>
    <sheet name="Sezione " sheetId="19" r:id="rId3"/>
    <sheet name="Scatolare" sheetId="42" r:id="rId4"/>
    <sheet name="Tubo circolare" sheetId="50" r:id="rId5"/>
    <sheet name="Dati tubi con vari riempimenti" sheetId="51" state="hidden" r:id="rId6"/>
  </sheets>
  <definedNames>
    <definedName name="_xlnm.Print_Area" localSheetId="1">'Calcolo portata Atot&lt;1 Kmq'!$A$1:$G$105</definedName>
    <definedName name="_xlnm.Print_Area" localSheetId="0">'Calcolo portata Atot&gt;1 Kmq'!$A$1:$G$105</definedName>
    <definedName name="_xlnm.Print_Area" localSheetId="3">Scatolare!$A$1:$I$73</definedName>
    <definedName name="_xlnm.Print_Area" localSheetId="2">'Sezione '!$A$1:$J$54</definedName>
    <definedName name="_xlnm.Print_Area" localSheetId="4">'Tubo circolare'!$A$1:$I$54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8" i="50" l="1"/>
  <c r="B47" i="50"/>
  <c r="B46" i="50"/>
  <c r="B69" i="42"/>
  <c r="B68" i="42"/>
  <c r="B67" i="42"/>
  <c r="B66" i="42"/>
  <c r="B49" i="19"/>
  <c r="B48" i="19"/>
  <c r="B47" i="19"/>
  <c r="E18" i="51"/>
  <c r="E17" i="51"/>
  <c r="E16" i="51"/>
  <c r="E15" i="51"/>
  <c r="E14" i="51"/>
  <c r="E13" i="51"/>
  <c r="E12" i="51"/>
  <c r="E11" i="51"/>
  <c r="E10" i="51"/>
  <c r="E9" i="51"/>
  <c r="E8" i="51"/>
  <c r="E7" i="51"/>
  <c r="E6" i="51"/>
  <c r="B6" i="51"/>
  <c r="B7" i="51" s="1"/>
  <c r="E5" i="51"/>
  <c r="G3" i="51"/>
  <c r="D40" i="50"/>
  <c r="C40" i="50"/>
  <c r="B40" i="50"/>
  <c r="D39" i="50"/>
  <c r="C39" i="50"/>
  <c r="B39" i="50"/>
  <c r="D38" i="50"/>
  <c r="C38" i="50"/>
  <c r="B38" i="50"/>
  <c r="D37" i="50"/>
  <c r="C37" i="50"/>
  <c r="B37" i="50"/>
  <c r="D36" i="50"/>
  <c r="C36" i="50"/>
  <c r="B36" i="50"/>
  <c r="D35" i="50"/>
  <c r="C35" i="50"/>
  <c r="B35" i="50"/>
  <c r="D34" i="50"/>
  <c r="C34" i="50"/>
  <c r="B34" i="50"/>
  <c r="D33" i="50"/>
  <c r="C33" i="50"/>
  <c r="B33" i="50"/>
  <c r="D32" i="50"/>
  <c r="C32" i="50"/>
  <c r="B32" i="50"/>
  <c r="D31" i="50"/>
  <c r="C31" i="50"/>
  <c r="E31" i="50" s="1"/>
  <c r="B31" i="50"/>
  <c r="D30" i="50"/>
  <c r="C30" i="50"/>
  <c r="B30" i="50"/>
  <c r="D29" i="50"/>
  <c r="C29" i="50"/>
  <c r="E29" i="50" s="1"/>
  <c r="B29" i="50"/>
  <c r="D28" i="50"/>
  <c r="C28" i="50"/>
  <c r="B28" i="50"/>
  <c r="B21" i="50"/>
  <c r="B17" i="50"/>
  <c r="B63" i="23"/>
  <c r="C53" i="48"/>
  <c r="D84" i="48" s="1"/>
  <c r="E84" i="48" s="1"/>
  <c r="B91" i="48" s="1"/>
  <c r="F91" i="48" s="1"/>
  <c r="B99" i="48" s="1"/>
  <c r="C53" i="23"/>
  <c r="D83" i="23" s="1"/>
  <c r="E83" i="23" s="1"/>
  <c r="B90" i="23" s="1"/>
  <c r="F90" i="23" s="1"/>
  <c r="B98" i="23" s="1"/>
  <c r="B19" i="42"/>
  <c r="D23" i="42"/>
  <c r="E23" i="42" s="1"/>
  <c r="D24" i="42"/>
  <c r="E24" i="42" s="1"/>
  <c r="D25" i="42"/>
  <c r="E25" i="42" s="1"/>
  <c r="D26" i="42"/>
  <c r="E26" i="42" s="1"/>
  <c r="D27" i="42"/>
  <c r="E27" i="42" s="1"/>
  <c r="D28" i="42"/>
  <c r="D29" i="42"/>
  <c r="E29" i="42" s="1"/>
  <c r="D30" i="42"/>
  <c r="E30" i="42" s="1"/>
  <c r="D31" i="42"/>
  <c r="E31" i="42" s="1"/>
  <c r="D32" i="42"/>
  <c r="E32" i="42" s="1"/>
  <c r="D33" i="42"/>
  <c r="E33" i="42" s="1"/>
  <c r="D34" i="42"/>
  <c r="E34" i="42" s="1"/>
  <c r="D35" i="42"/>
  <c r="E35" i="42" s="1"/>
  <c r="D36" i="42"/>
  <c r="E36" i="42" s="1"/>
  <c r="D37" i="42"/>
  <c r="E37" i="42" s="1"/>
  <c r="D38" i="42"/>
  <c r="E38" i="42" s="1"/>
  <c r="D39" i="42"/>
  <c r="E39" i="42" s="1"/>
  <c r="D40" i="42"/>
  <c r="E40" i="42" s="1"/>
  <c r="D41" i="42"/>
  <c r="E41" i="42" s="1"/>
  <c r="D42" i="42"/>
  <c r="E42" i="42" s="1"/>
  <c r="D43" i="42"/>
  <c r="E43" i="42" s="1"/>
  <c r="D44" i="42"/>
  <c r="E44" i="42" s="1"/>
  <c r="D45" i="42"/>
  <c r="E45" i="42" s="1"/>
  <c r="D46" i="42"/>
  <c r="E46" i="42" s="1"/>
  <c r="D47" i="42"/>
  <c r="E47" i="42" s="1"/>
  <c r="D48" i="42"/>
  <c r="E48" i="42" s="1"/>
  <c r="D49" i="42"/>
  <c r="E49" i="42" s="1"/>
  <c r="D50" i="42"/>
  <c r="E50" i="42" s="1"/>
  <c r="D51" i="42"/>
  <c r="E51" i="42" s="1"/>
  <c r="D52" i="42"/>
  <c r="E52" i="42" s="1"/>
  <c r="D53" i="42"/>
  <c r="E53" i="42" s="1"/>
  <c r="D54" i="42"/>
  <c r="E54" i="42" s="1"/>
  <c r="D55" i="42"/>
  <c r="E55" i="42" s="1"/>
  <c r="D56" i="42"/>
  <c r="E56" i="42" s="1"/>
  <c r="D57" i="42"/>
  <c r="D58" i="42"/>
  <c r="E58" i="42" s="1"/>
  <c r="D59" i="42"/>
  <c r="E59" i="42" s="1"/>
  <c r="D61" i="42"/>
  <c r="E61" i="42" s="1"/>
  <c r="B30" i="19"/>
  <c r="F30" i="19" s="1"/>
  <c r="B38" i="19"/>
  <c r="B9" i="51"/>
  <c r="B10" i="51"/>
  <c r="B12" i="51"/>
  <c r="G18" i="51"/>
  <c r="F17" i="51"/>
  <c r="G14" i="51"/>
  <c r="F13" i="51"/>
  <c r="F12" i="51"/>
  <c r="F11" i="51"/>
  <c r="G16" i="51"/>
  <c r="G10" i="51"/>
  <c r="G9" i="51"/>
  <c r="G8" i="51"/>
  <c r="F7" i="51"/>
  <c r="F6" i="51"/>
  <c r="F5" i="51"/>
  <c r="F16" i="51"/>
  <c r="G12" i="51"/>
  <c r="F9" i="51"/>
  <c r="F18" i="51"/>
  <c r="G15" i="51"/>
  <c r="F14" i="51"/>
  <c r="G7" i="51"/>
  <c r="G6" i="51"/>
  <c r="G5" i="51"/>
  <c r="F15" i="51"/>
  <c r="B13" i="51"/>
  <c r="G17" i="51"/>
  <c r="G13" i="51"/>
  <c r="G11" i="51"/>
  <c r="F10" i="51"/>
  <c r="F8" i="51"/>
  <c r="F44" i="42" l="1"/>
  <c r="H44" i="42" s="1"/>
  <c r="G44" i="42" s="1"/>
  <c r="E30" i="50"/>
  <c r="F30" i="50" s="1"/>
  <c r="G30" i="50" s="1"/>
  <c r="E32" i="50"/>
  <c r="E34" i="50"/>
  <c r="E36" i="50"/>
  <c r="F36" i="50" s="1"/>
  <c r="G36" i="50" s="1"/>
  <c r="E38" i="50"/>
  <c r="F38" i="50" s="1"/>
  <c r="G38" i="50" s="1"/>
  <c r="F29" i="50"/>
  <c r="G29" i="50" s="1"/>
  <c r="E33" i="50"/>
  <c r="E35" i="50"/>
  <c r="F35" i="50" s="1"/>
  <c r="G35" i="50" s="1"/>
  <c r="E37" i="50"/>
  <c r="F37" i="50" s="1"/>
  <c r="G37" i="50" s="1"/>
  <c r="E39" i="50"/>
  <c r="F39" i="50" s="1"/>
  <c r="G39" i="50" s="1"/>
  <c r="F32" i="50"/>
  <c r="G32" i="50" s="1"/>
  <c r="E40" i="50"/>
  <c r="F40" i="50" s="1"/>
  <c r="G40" i="50" s="1"/>
  <c r="F33" i="50"/>
  <c r="G33" i="50" s="1"/>
  <c r="E28" i="50"/>
  <c r="F28" i="50" s="1"/>
  <c r="G28" i="50" s="1"/>
  <c r="F31" i="50"/>
  <c r="G31" i="50" s="1"/>
  <c r="F34" i="50"/>
  <c r="G34" i="50" s="1"/>
  <c r="F38" i="42"/>
  <c r="H38" i="42" s="1"/>
  <c r="G38" i="42" s="1"/>
  <c r="F32" i="42"/>
  <c r="H32" i="42" s="1"/>
  <c r="G32" i="42" s="1"/>
  <c r="F37" i="42"/>
  <c r="H37" i="42" s="1"/>
  <c r="G37" i="42" s="1"/>
  <c r="F55" i="42"/>
  <c r="H55" i="42" s="1"/>
  <c r="G55" i="42" s="1"/>
  <c r="F46" i="42"/>
  <c r="H46" i="42" s="1"/>
  <c r="G46" i="42" s="1"/>
  <c r="F30" i="42"/>
  <c r="H30" i="42" s="1"/>
  <c r="G30" i="42" s="1"/>
  <c r="F59" i="42"/>
  <c r="H59" i="42" s="1"/>
  <c r="G59" i="42" s="1"/>
  <c r="F31" i="42"/>
  <c r="H31" i="42" s="1"/>
  <c r="G31" i="42" s="1"/>
  <c r="F27" i="42"/>
  <c r="H27" i="42" s="1"/>
  <c r="G27" i="42" s="1"/>
  <c r="F24" i="42"/>
  <c r="H24" i="42" s="1"/>
  <c r="G24" i="42" s="1"/>
  <c r="F56" i="42"/>
  <c r="H56" i="42" s="1"/>
  <c r="G56" i="42" s="1"/>
  <c r="F41" i="42"/>
  <c r="H41" i="42" s="1"/>
  <c r="G41" i="42" s="1"/>
  <c r="F34" i="42"/>
  <c r="H34" i="42" s="1"/>
  <c r="G34" i="42" s="1"/>
  <c r="F26" i="42"/>
  <c r="H26" i="42" s="1"/>
  <c r="G26" i="42" s="1"/>
  <c r="F23" i="42"/>
  <c r="H23" i="42" s="1"/>
  <c r="G23" i="42" s="1"/>
  <c r="F50" i="42"/>
  <c r="H50" i="42" s="1"/>
  <c r="G50" i="42" s="1"/>
  <c r="F47" i="42"/>
  <c r="H47" i="42" s="1"/>
  <c r="G47" i="42" s="1"/>
  <c r="F40" i="42"/>
  <c r="H40" i="42" s="1"/>
  <c r="G40" i="42" s="1"/>
  <c r="F61" i="42"/>
  <c r="H61" i="42" s="1"/>
  <c r="E66" i="42" s="1"/>
  <c r="F52" i="42"/>
  <c r="H52" i="42" s="1"/>
  <c r="G52" i="42" s="1"/>
  <c r="F49" i="42"/>
  <c r="H49" i="42" s="1"/>
  <c r="G49" i="42" s="1"/>
  <c r="F43" i="42"/>
  <c r="H43" i="42" s="1"/>
  <c r="G43" i="42" s="1"/>
  <c r="D81" i="48"/>
  <c r="E81" i="48" s="1"/>
  <c r="B88" i="48" s="1"/>
  <c r="F88" i="48" s="1"/>
  <c r="B96" i="48" s="1"/>
  <c r="D83" i="48"/>
  <c r="E83" i="48" s="1"/>
  <c r="B90" i="48" s="1"/>
  <c r="F90" i="48" s="1"/>
  <c r="B98" i="48" s="1"/>
  <c r="D82" i="48"/>
  <c r="E82" i="48" s="1"/>
  <c r="B89" i="48" s="1"/>
  <c r="F89" i="48" s="1"/>
  <c r="B97" i="48" s="1"/>
  <c r="F58" i="42"/>
  <c r="H58" i="42" s="1"/>
  <c r="G58" i="42" s="1"/>
  <c r="F54" i="42"/>
  <c r="H54" i="42" s="1"/>
  <c r="G54" i="42" s="1"/>
  <c r="F51" i="42"/>
  <c r="H51" i="42" s="1"/>
  <c r="G51" i="42" s="1"/>
  <c r="F45" i="42"/>
  <c r="H45" i="42" s="1"/>
  <c r="G45" i="42" s="1"/>
  <c r="F42" i="42"/>
  <c r="H42" i="42" s="1"/>
  <c r="G42" i="42" s="1"/>
  <c r="F33" i="42"/>
  <c r="H33" i="42" s="1"/>
  <c r="G33" i="42" s="1"/>
  <c r="F29" i="42"/>
  <c r="H29" i="42" s="1"/>
  <c r="G29" i="42" s="1"/>
  <c r="F36" i="42"/>
  <c r="H36" i="42" s="1"/>
  <c r="G36" i="42" s="1"/>
  <c r="F48" i="42"/>
  <c r="H48" i="42" s="1"/>
  <c r="G48" i="42" s="1"/>
  <c r="F39" i="42"/>
  <c r="H39" i="42" s="1"/>
  <c r="G39" i="42" s="1"/>
  <c r="F25" i="42"/>
  <c r="H25" i="42" s="1"/>
  <c r="G25" i="42" s="1"/>
  <c r="F53" i="42"/>
  <c r="H53" i="42" s="1"/>
  <c r="G53" i="42" s="1"/>
  <c r="F35" i="42"/>
  <c r="H35" i="42" s="1"/>
  <c r="G35" i="42" s="1"/>
  <c r="D82" i="23"/>
  <c r="E82" i="23" s="1"/>
  <c r="B89" i="23" s="1"/>
  <c r="F89" i="23" s="1"/>
  <c r="B97" i="23" s="1"/>
  <c r="D81" i="23"/>
  <c r="E81" i="23" s="1"/>
  <c r="B88" i="23" s="1"/>
  <c r="F88" i="23" s="1"/>
  <c r="B96" i="23" s="1"/>
  <c r="B46" i="19" s="1"/>
  <c r="D84" i="23"/>
  <c r="E84" i="23" s="1"/>
  <c r="B91" i="23" s="1"/>
  <c r="F91" i="23" s="1"/>
  <c r="B99" i="23" s="1"/>
  <c r="B22" i="50"/>
  <c r="B23" i="50" s="1"/>
  <c r="B24" i="50" s="1"/>
  <c r="H31" i="19"/>
  <c r="E57" i="42"/>
  <c r="F57" i="42" s="1"/>
  <c r="H57" i="42" s="1"/>
  <c r="G57" i="42" s="1"/>
  <c r="E28" i="42"/>
  <c r="F28" i="42" s="1"/>
  <c r="H28" i="42" s="1"/>
  <c r="G28" i="42" s="1"/>
  <c r="B31" i="19"/>
  <c r="E48" i="50" l="1"/>
  <c r="E47" i="50"/>
  <c r="E46" i="50"/>
  <c r="E69" i="42"/>
  <c r="E68" i="42"/>
  <c r="E67" i="42"/>
  <c r="B45" i="50"/>
  <c r="E45" i="50" s="1"/>
  <c r="B32" i="19"/>
  <c r="B33" i="19"/>
  <c r="G61" i="42"/>
  <c r="B34" i="19" l="1"/>
  <c r="B40" i="19" s="1"/>
  <c r="B41" i="19" s="1"/>
  <c r="B42" i="19" s="1"/>
  <c r="E49" i="19" l="1"/>
  <c r="E48" i="19"/>
  <c r="E47" i="19"/>
  <c r="B65" i="42"/>
  <c r="B44" i="50"/>
  <c r="E46" i="19"/>
</calcChain>
</file>

<file path=xl/sharedStrings.xml><?xml version="1.0" encoding="utf-8"?>
<sst xmlns="http://schemas.openxmlformats.org/spreadsheetml/2006/main" count="389" uniqueCount="171">
  <si>
    <t>Formula di Bazin II</t>
  </si>
  <si>
    <t>L=</t>
  </si>
  <si>
    <t>R = A/C</t>
  </si>
  <si>
    <t>F=</t>
  </si>
  <si>
    <t>C = Contorno bagnato</t>
  </si>
  <si>
    <t>H=</t>
  </si>
  <si>
    <t xml:space="preserve">J = Pendenza </t>
  </si>
  <si>
    <t>A =</t>
  </si>
  <si>
    <t>mq</t>
  </si>
  <si>
    <t>C =</t>
  </si>
  <si>
    <t>R =</t>
  </si>
  <si>
    <t>J =</t>
  </si>
  <si>
    <t xml:space="preserve">K = </t>
  </si>
  <si>
    <t xml:space="preserve">V = </t>
  </si>
  <si>
    <t>A = Area tombinata</t>
  </si>
  <si>
    <t>J = Pendenza dello scatolare</t>
  </si>
  <si>
    <t xml:space="preserve">franco = </t>
  </si>
  <si>
    <t>mc/sec</t>
  </si>
  <si>
    <t>ove:</t>
  </si>
  <si>
    <t>C= coefficiente di afflusso</t>
  </si>
  <si>
    <t xml:space="preserve">Si assume C=    </t>
  </si>
  <si>
    <t>L= lunghezza dell'asta principale estesa fino allo spartiacque (Km)</t>
  </si>
  <si>
    <t>i= pendenza media dell'asta principale</t>
  </si>
  <si>
    <t>Tipologia bacino (m/p):</t>
  </si>
  <si>
    <t>m</t>
  </si>
  <si>
    <t>ore</t>
  </si>
  <si>
    <t>kmq</t>
  </si>
  <si>
    <t>Km</t>
  </si>
  <si>
    <r>
      <t>i</t>
    </r>
    <r>
      <rPr>
        <vertAlign val="subscript"/>
        <sz val="10"/>
        <rFont val="Arial"/>
        <family val="2"/>
      </rPr>
      <t>c</t>
    </r>
    <r>
      <rPr>
        <sz val="10"/>
        <rFont val="Arial"/>
        <family val="2"/>
      </rPr>
      <t>= intensità della pioggia di progetto (mm/h)</t>
    </r>
  </si>
  <si>
    <r>
      <t>t</t>
    </r>
    <r>
      <rPr>
        <vertAlign val="subscript"/>
        <sz val="10"/>
        <rFont val="Arial"/>
        <family val="2"/>
      </rPr>
      <t>c</t>
    </r>
    <r>
      <rPr>
        <sz val="10"/>
        <rFont val="Arial"/>
        <family val="2"/>
      </rPr>
      <t>= tempo di corrivazione (ore)</t>
    </r>
  </si>
  <si>
    <r>
      <t>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/sec</t>
    </r>
  </si>
  <si>
    <t>A = Area sezione utile</t>
  </si>
  <si>
    <t>R = raggio idraulico = A/C</t>
  </si>
  <si>
    <t>b=</t>
  </si>
  <si>
    <t>B=</t>
  </si>
  <si>
    <t>m/sec</t>
  </si>
  <si>
    <t>F = franco di sicurezza o di bonifica</t>
  </si>
  <si>
    <t>p</t>
  </si>
  <si>
    <t>m/m</t>
  </si>
  <si>
    <t>Per i bacini di montagna si adotta  la formula di Pezzoli (1970):</t>
  </si>
  <si>
    <t>R</t>
  </si>
  <si>
    <t>K</t>
  </si>
  <si>
    <t>x</t>
  </si>
  <si>
    <t>Area bacino chiuso alla sezione da verificare</t>
  </si>
  <si>
    <t>Cella di controllo</t>
  </si>
  <si>
    <t>Materiale</t>
  </si>
  <si>
    <t>g</t>
  </si>
  <si>
    <t>Canali con pareti lisce in cemento</t>
  </si>
  <si>
    <t>Canali con pareti scabre in cemento o in muratura</t>
  </si>
  <si>
    <t>Canali in terra regolari senza vegetazione. Canali in cemento deteriorato</t>
  </si>
  <si>
    <t>Canali in terra regolari con erbe basse</t>
  </si>
  <si>
    <t>Canali in terra con vegetazione soggetti a diserbo regolare</t>
  </si>
  <si>
    <t>Canali in terra in cattive condizioni con ampia vegetazione e depositi di ghiaia e massi sul fondo</t>
  </si>
  <si>
    <t>Canali in pieno abbandono irregolari e ostruiti da vegetazione</t>
  </si>
  <si>
    <r>
      <t>t</t>
    </r>
    <r>
      <rPr>
        <b/>
        <vertAlign val="subscript"/>
        <sz val="10"/>
        <rFont val="Arial"/>
        <family val="2"/>
      </rPr>
      <t xml:space="preserve">c </t>
    </r>
    <r>
      <rPr>
        <b/>
        <sz val="10"/>
        <rFont val="Arial"/>
        <family val="2"/>
      </rPr>
      <t>=</t>
    </r>
  </si>
  <si>
    <t>d = durata della precipitazione (ore)</t>
  </si>
  <si>
    <t>TR = tempo di ritorno</t>
  </si>
  <si>
    <r>
      <t>A</t>
    </r>
    <r>
      <rPr>
        <vertAlign val="subscript"/>
        <sz val="10"/>
        <rFont val="Arial"/>
        <family val="2"/>
      </rPr>
      <t>S</t>
    </r>
    <r>
      <rPr>
        <sz val="10"/>
        <rFont val="Arial"/>
        <family val="2"/>
      </rPr>
      <t>=</t>
    </r>
  </si>
  <si>
    <r>
      <t>Km</t>
    </r>
    <r>
      <rPr>
        <vertAlign val="superscript"/>
        <sz val="10"/>
        <rFont val="Arial"/>
        <family val="2"/>
      </rPr>
      <t>2</t>
    </r>
  </si>
  <si>
    <r>
      <t>Q</t>
    </r>
    <r>
      <rPr>
        <b/>
        <vertAlign val="subscript"/>
        <sz val="10"/>
        <rFont val="Arial"/>
        <family val="2"/>
      </rPr>
      <t xml:space="preserve">30, S </t>
    </r>
    <r>
      <rPr>
        <b/>
        <sz val="10"/>
        <rFont val="Arial"/>
        <family val="2"/>
      </rPr>
      <t>=</t>
    </r>
  </si>
  <si>
    <r>
      <t>Q</t>
    </r>
    <r>
      <rPr>
        <b/>
        <vertAlign val="subscript"/>
        <sz val="10"/>
        <rFont val="Arial"/>
        <family val="2"/>
      </rPr>
      <t xml:space="preserve">200, S </t>
    </r>
    <r>
      <rPr>
        <b/>
        <sz val="10"/>
        <rFont val="Arial"/>
        <family val="2"/>
      </rPr>
      <t>=</t>
    </r>
  </si>
  <si>
    <t xml:space="preserve">a - n = parametri desunti dall'interpolazione dei valori sperimentali </t>
  </si>
  <si>
    <t>L= lunghezza dell'asta principale estesa  allo spartiacque (Km)</t>
  </si>
  <si>
    <r>
      <t>A</t>
    </r>
    <r>
      <rPr>
        <vertAlign val="subscript"/>
        <sz val="10"/>
        <rFont val="Arial"/>
        <family val="2"/>
      </rPr>
      <t>tot</t>
    </r>
    <r>
      <rPr>
        <sz val="10"/>
        <rFont val="Arial"/>
        <family val="2"/>
      </rPr>
      <t>=estensione bacino idrografico (Kmq)</t>
    </r>
  </si>
  <si>
    <r>
      <t>i</t>
    </r>
    <r>
      <rPr>
        <vertAlign val="subscript"/>
        <sz val="10"/>
        <rFont val="Arial"/>
        <family val="2"/>
      </rPr>
      <t>tot</t>
    </r>
    <r>
      <rPr>
        <sz val="10"/>
        <rFont val="Arial"/>
        <family val="2"/>
      </rPr>
      <t>= pendenza media dell'intera asta principale (m/m)</t>
    </r>
  </si>
  <si>
    <t>k = fattore di correzione delle unità di misura = 0,278</t>
  </si>
  <si>
    <r>
      <t xml:space="preserve">A = Superficie del bacino </t>
    </r>
    <r>
      <rPr>
        <i/>
        <sz val="10"/>
        <rFont val="Arial"/>
        <family val="2"/>
      </rPr>
      <t>(kmq)</t>
    </r>
  </si>
  <si>
    <r>
      <t>i</t>
    </r>
    <r>
      <rPr>
        <vertAlign val="subscript"/>
        <sz val="10"/>
        <rFont val="Arial"/>
        <family val="2"/>
      </rPr>
      <t xml:space="preserve">tot </t>
    </r>
    <r>
      <rPr>
        <sz val="10"/>
        <rFont val="Arial"/>
        <family val="2"/>
      </rPr>
      <t>=</t>
    </r>
  </si>
  <si>
    <r>
      <t>i</t>
    </r>
    <r>
      <rPr>
        <vertAlign val="subscript"/>
        <sz val="10"/>
        <rFont val="Arial"/>
        <family val="2"/>
      </rPr>
      <t xml:space="preserve">tot </t>
    </r>
    <r>
      <rPr>
        <sz val="10"/>
        <rFont val="Arial"/>
        <family val="2"/>
      </rPr>
      <t>=</t>
    </r>
  </si>
  <si>
    <r>
      <t>A</t>
    </r>
    <r>
      <rPr>
        <vertAlign val="subscript"/>
        <sz val="10"/>
        <rFont val="Arial"/>
        <family val="2"/>
      </rPr>
      <t xml:space="preserve">tot </t>
    </r>
    <r>
      <rPr>
        <sz val="10"/>
        <rFont val="Arial"/>
        <family val="2"/>
      </rPr>
      <t>=</t>
    </r>
  </si>
  <si>
    <r>
      <t>A</t>
    </r>
    <r>
      <rPr>
        <vertAlign val="subscript"/>
        <sz val="10"/>
        <rFont val="Arial"/>
        <family val="2"/>
      </rPr>
      <t xml:space="preserve">tot </t>
    </r>
    <r>
      <rPr>
        <sz val="10"/>
        <rFont val="Arial"/>
        <family val="2"/>
      </rPr>
      <t>=</t>
    </r>
  </si>
  <si>
    <t>Condizioni approssimate di moto uniforme</t>
  </si>
  <si>
    <r>
      <t>CALCOLO DELLA OFFICIOSITA' ALLA SEZIONE S (Q</t>
    </r>
    <r>
      <rPr>
        <b/>
        <vertAlign val="subscript"/>
        <sz val="12"/>
        <rFont val="Arial"/>
        <family val="2"/>
      </rPr>
      <t>S</t>
    </r>
    <r>
      <rPr>
        <b/>
        <sz val="12"/>
        <rFont val="Arial"/>
        <family val="2"/>
      </rPr>
      <t>)</t>
    </r>
  </si>
  <si>
    <r>
      <t>CALCOLO DELLA PORTATA DI PROGETTO (Q</t>
    </r>
    <r>
      <rPr>
        <b/>
        <vertAlign val="subscript"/>
        <sz val="12"/>
        <rFont val="Arial"/>
        <family val="2"/>
      </rPr>
      <t>200_S</t>
    </r>
    <r>
      <rPr>
        <b/>
        <sz val="12"/>
        <rFont val="Arial"/>
        <family val="2"/>
      </rPr>
      <t>, Q</t>
    </r>
    <r>
      <rPr>
        <b/>
        <vertAlign val="subscript"/>
        <sz val="12"/>
        <rFont val="Arial"/>
        <family val="2"/>
      </rPr>
      <t>30_S</t>
    </r>
    <r>
      <rPr>
        <b/>
        <sz val="12"/>
        <rFont val="Arial"/>
        <family val="2"/>
      </rPr>
      <t>)</t>
    </r>
  </si>
  <si>
    <r>
      <t>CALCOLO DELLA OFFICIOSITA' AL MANUFATTO  (Q</t>
    </r>
    <r>
      <rPr>
        <b/>
        <vertAlign val="subscript"/>
        <sz val="12"/>
        <rFont val="Arial"/>
        <family val="2"/>
      </rPr>
      <t>M</t>
    </r>
    <r>
      <rPr>
        <b/>
        <sz val="12"/>
        <rFont val="Arial"/>
        <family val="2"/>
      </rPr>
      <t>)</t>
    </r>
  </si>
  <si>
    <t>Manufatto rettangolare</t>
  </si>
  <si>
    <r>
      <t>g</t>
    </r>
    <r>
      <rPr>
        <sz val="11"/>
        <rFont val="Arial"/>
        <family val="2"/>
      </rPr>
      <t xml:space="preserve"> =</t>
    </r>
  </si>
  <si>
    <t>Verifiche:</t>
  </si>
  <si>
    <t>Dimensione scelta (standard o utente):</t>
  </si>
  <si>
    <t>controllo</t>
  </si>
  <si>
    <r>
      <t>Per i canali di pianura si adotta  la formula di Ongaro (A</t>
    </r>
    <r>
      <rPr>
        <vertAlign val="subscript"/>
        <sz val="10"/>
        <rFont val="Arial"/>
        <family val="2"/>
      </rPr>
      <t>tot</t>
    </r>
    <r>
      <rPr>
        <sz val="10"/>
        <rFont val="Arial"/>
        <family val="2"/>
      </rPr>
      <t xml:space="preserve"> &lt; 1,0 Kmq)</t>
    </r>
  </si>
  <si>
    <r>
      <t>g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= coefficiente di scabrezza</t>
    </r>
  </si>
  <si>
    <r>
      <t>tg(</t>
    </r>
    <r>
      <rPr>
        <sz val="10"/>
        <rFont val="Symbol"/>
        <family val="1"/>
        <charset val="2"/>
      </rPr>
      <t>a</t>
    </r>
    <r>
      <rPr>
        <sz val="10"/>
        <rFont val="Arial"/>
        <family val="2"/>
      </rPr>
      <t>)=</t>
    </r>
  </si>
  <si>
    <r>
      <t>pendenza sponde=ctg(</t>
    </r>
    <r>
      <rPr>
        <sz val="10"/>
        <rFont val="Symbol"/>
        <family val="1"/>
        <charset val="2"/>
      </rPr>
      <t>a</t>
    </r>
    <r>
      <rPr>
        <sz val="10"/>
        <rFont val="Arial"/>
        <family val="2"/>
      </rPr>
      <t>)= 1/</t>
    </r>
  </si>
  <si>
    <r>
      <t>m</t>
    </r>
    <r>
      <rPr>
        <vertAlign val="superscript"/>
        <sz val="10"/>
        <rFont val="Arial"/>
        <family val="2"/>
      </rPr>
      <t>1/2</t>
    </r>
  </si>
  <si>
    <r>
      <t>g</t>
    </r>
    <r>
      <rPr>
        <sz val="10"/>
        <rFont val="Arial"/>
        <family val="2"/>
      </rPr>
      <t xml:space="preserve"> =</t>
    </r>
  </si>
  <si>
    <r>
      <t>Q</t>
    </r>
    <r>
      <rPr>
        <b/>
        <vertAlign val="subscript"/>
        <sz val="10"/>
        <rFont val="Arial"/>
        <family val="2"/>
      </rPr>
      <t>S</t>
    </r>
    <r>
      <rPr>
        <b/>
        <sz val="10"/>
        <rFont val="Arial"/>
        <family val="2"/>
      </rPr>
      <t xml:space="preserve"> =</t>
    </r>
  </si>
  <si>
    <r>
      <t>g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= coefficiente di scabrezza</t>
    </r>
  </si>
  <si>
    <r>
      <t>Q</t>
    </r>
    <r>
      <rPr>
        <vertAlign val="subscript"/>
        <sz val="10"/>
        <rFont val="Arial"/>
        <family val="2"/>
      </rPr>
      <t>S</t>
    </r>
    <r>
      <rPr>
        <sz val="10"/>
        <rFont val="Arial"/>
        <family val="2"/>
      </rPr>
      <t>=</t>
    </r>
  </si>
  <si>
    <t>SCATOLARI PREFABBRICATI (franco F)</t>
  </si>
  <si>
    <r>
      <t xml:space="preserve">base
</t>
    </r>
    <r>
      <rPr>
        <sz val="8"/>
        <rFont val="Arial"/>
        <family val="2"/>
      </rPr>
      <t>(mm)</t>
    </r>
  </si>
  <si>
    <r>
      <t xml:space="preserve">altezza
</t>
    </r>
    <r>
      <rPr>
        <sz val="8"/>
        <rFont val="Arial"/>
        <family val="2"/>
      </rPr>
      <t>(mm)</t>
    </r>
  </si>
  <si>
    <r>
      <t xml:space="preserve">Area
</t>
    </r>
    <r>
      <rPr>
        <sz val="8"/>
        <rFont val="Arial"/>
        <family val="2"/>
      </rPr>
      <t>(mq)</t>
    </r>
  </si>
  <si>
    <r>
      <t xml:space="preserve">V
</t>
    </r>
    <r>
      <rPr>
        <sz val="8"/>
        <rFont val="Arial"/>
        <family val="2"/>
      </rPr>
      <t>(m/sec)</t>
    </r>
  </si>
  <si>
    <r>
      <t>Officiosità Q</t>
    </r>
    <r>
      <rPr>
        <b/>
        <vertAlign val="subscript"/>
        <sz val="8"/>
        <rFont val="Arial"/>
        <family val="2"/>
      </rPr>
      <t xml:space="preserve">M
</t>
    </r>
    <r>
      <rPr>
        <sz val="8"/>
        <rFont val="Arial"/>
        <family val="2"/>
      </rPr>
      <t>(mc/sec)</t>
    </r>
  </si>
  <si>
    <t xml:space="preserve">                    Formula di Bazin II</t>
  </si>
  <si>
    <t xml:space="preserve">Canale Consorziale: </t>
  </si>
  <si>
    <t>Stima del coefficiente di afflusso (C)</t>
  </si>
  <si>
    <t xml:space="preserve">Il coefficiente di afflusso deve essere determinato dal progettista. Si riporta, a riferimento, </t>
  </si>
  <si>
    <t>la tabella proposta da G. Benini ("Sistemazioni idraulico forestali" - 1990)</t>
  </si>
  <si>
    <t xml:space="preserve"> Calcolo del tempo di corrivazione</t>
  </si>
  <si>
    <t>Per i canali di pianura si adotta  la formula di Pasini ricalibrata da Brath, 2002</t>
  </si>
  <si>
    <r>
      <t>Stima dell'intensità di precipitazione critica (i</t>
    </r>
    <r>
      <rPr>
        <b/>
        <vertAlign val="subscript"/>
        <sz val="10"/>
        <rFont val="Arial"/>
        <family val="2"/>
      </rPr>
      <t>c</t>
    </r>
    <r>
      <rPr>
        <b/>
        <sz val="10"/>
        <rFont val="Arial"/>
        <family val="2"/>
      </rPr>
      <t>)</t>
    </r>
  </si>
  <si>
    <t>Curve di possibilità climatica:</t>
  </si>
  <si>
    <t>Per fissati valori del tempo di ritorno e per le diverse zone, il PAI suggerisce:</t>
  </si>
  <si>
    <t>TR 30</t>
  </si>
  <si>
    <t>a</t>
  </si>
  <si>
    <t>n</t>
  </si>
  <si>
    <t>TR 200</t>
  </si>
  <si>
    <t>Per il caso in esame si adotta, a discrezione del progettista:</t>
  </si>
  <si>
    <t xml:space="preserve"> Calcolo della portata di progetto alla sezione terminale dello scolo</t>
  </si>
  <si>
    <r>
      <t>h</t>
    </r>
    <r>
      <rPr>
        <vertAlign val="subscript"/>
        <sz val="10"/>
        <rFont val="Arial"/>
        <family val="2"/>
      </rPr>
      <t xml:space="preserve">p </t>
    </r>
    <r>
      <rPr>
        <sz val="10"/>
        <rFont val="Arial"/>
        <family val="2"/>
      </rPr>
      <t>= altezza di precipitazione (mm)</t>
    </r>
  </si>
  <si>
    <r>
      <t>i</t>
    </r>
    <r>
      <rPr>
        <vertAlign val="subscript"/>
        <sz val="10"/>
        <rFont val="Arial"/>
        <family val="2"/>
      </rPr>
      <t>p</t>
    </r>
    <r>
      <rPr>
        <sz val="10"/>
        <rFont val="Arial"/>
        <family val="2"/>
      </rPr>
      <t xml:space="preserve"> = intensità di precipitazione (mm/h) </t>
    </r>
  </si>
  <si>
    <t xml:space="preserve"> Calcolo della portata di progetto alla sezione da verificare</t>
  </si>
  <si>
    <t>xxyy</t>
  </si>
  <si>
    <t>selezionare o meno il flag in base al caso specifico</t>
  </si>
  <si>
    <t>compilare i campi in rosso</t>
  </si>
  <si>
    <t>TR 50</t>
  </si>
  <si>
    <t>TR 10</t>
  </si>
  <si>
    <r>
      <t>h</t>
    </r>
    <r>
      <rPr>
        <b/>
        <vertAlign val="subscript"/>
        <sz val="9"/>
        <rFont val="Arial"/>
        <family val="2"/>
      </rPr>
      <t>p</t>
    </r>
  </si>
  <si>
    <r>
      <t>i</t>
    </r>
    <r>
      <rPr>
        <b/>
        <vertAlign val="subscript"/>
        <sz val="9"/>
        <rFont val="Arial"/>
        <family val="2"/>
      </rPr>
      <t>p</t>
    </r>
  </si>
  <si>
    <r>
      <t>Q</t>
    </r>
    <r>
      <rPr>
        <b/>
        <vertAlign val="subscript"/>
        <sz val="9"/>
        <rFont val="Arial"/>
        <family val="2"/>
      </rPr>
      <t xml:space="preserve">10, TOT </t>
    </r>
    <r>
      <rPr>
        <b/>
        <sz val="9"/>
        <rFont val="Arial"/>
        <family val="2"/>
      </rPr>
      <t>=</t>
    </r>
  </si>
  <si>
    <r>
      <t>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/sec</t>
    </r>
  </si>
  <si>
    <r>
      <t>q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>=</t>
    </r>
  </si>
  <si>
    <r>
      <t>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/sec/Km</t>
    </r>
    <r>
      <rPr>
        <b/>
        <vertAlign val="superscript"/>
        <sz val="9"/>
        <rFont val="Arial"/>
        <family val="2"/>
      </rPr>
      <t>2</t>
    </r>
  </si>
  <si>
    <r>
      <t>Q</t>
    </r>
    <r>
      <rPr>
        <b/>
        <vertAlign val="subscript"/>
        <sz val="9"/>
        <rFont val="Arial"/>
        <family val="2"/>
      </rPr>
      <t xml:space="preserve">30, TOT </t>
    </r>
    <r>
      <rPr>
        <b/>
        <sz val="9"/>
        <rFont val="Arial"/>
        <family val="2"/>
      </rPr>
      <t>=</t>
    </r>
  </si>
  <si>
    <r>
      <t>q</t>
    </r>
    <r>
      <rPr>
        <b/>
        <vertAlign val="subscript"/>
        <sz val="9"/>
        <rFont val="Arial"/>
        <family val="2"/>
      </rPr>
      <t>30</t>
    </r>
    <r>
      <rPr>
        <b/>
        <sz val="9"/>
        <rFont val="Arial"/>
        <family val="2"/>
      </rPr>
      <t>=</t>
    </r>
  </si>
  <si>
    <r>
      <t>Q</t>
    </r>
    <r>
      <rPr>
        <b/>
        <vertAlign val="subscript"/>
        <sz val="9"/>
        <rFont val="Arial"/>
        <family val="2"/>
      </rPr>
      <t xml:space="preserve">50, TOT </t>
    </r>
    <r>
      <rPr>
        <b/>
        <sz val="9"/>
        <rFont val="Arial"/>
        <family val="2"/>
      </rPr>
      <t>=</t>
    </r>
  </si>
  <si>
    <r>
      <t>q</t>
    </r>
    <r>
      <rPr>
        <b/>
        <vertAlign val="subscript"/>
        <sz val="9"/>
        <rFont val="Arial"/>
        <family val="2"/>
      </rPr>
      <t>50</t>
    </r>
    <r>
      <rPr>
        <b/>
        <sz val="9"/>
        <rFont val="Arial"/>
        <family val="2"/>
      </rPr>
      <t>=</t>
    </r>
  </si>
  <si>
    <r>
      <t>Q</t>
    </r>
    <r>
      <rPr>
        <b/>
        <vertAlign val="subscript"/>
        <sz val="9"/>
        <rFont val="Arial"/>
        <family val="2"/>
      </rPr>
      <t xml:space="preserve">200, TOT </t>
    </r>
    <r>
      <rPr>
        <b/>
        <sz val="9"/>
        <rFont val="Arial"/>
        <family val="2"/>
      </rPr>
      <t>=</t>
    </r>
  </si>
  <si>
    <r>
      <t>q</t>
    </r>
    <r>
      <rPr>
        <b/>
        <vertAlign val="subscript"/>
        <sz val="9"/>
        <rFont val="Arial"/>
        <family val="2"/>
      </rPr>
      <t>200</t>
    </r>
    <r>
      <rPr>
        <b/>
        <sz val="9"/>
        <rFont val="Arial"/>
        <family val="2"/>
      </rPr>
      <t>=</t>
    </r>
  </si>
  <si>
    <r>
      <t>CALCOLO DELLA PORTATA DI PROGETTO (Q</t>
    </r>
    <r>
      <rPr>
        <b/>
        <vertAlign val="subscript"/>
        <sz val="12"/>
        <rFont val="Arial"/>
        <family val="2"/>
      </rPr>
      <t>200_S</t>
    </r>
    <r>
      <rPr>
        <b/>
        <sz val="12"/>
        <rFont val="Arial"/>
        <family val="2"/>
      </rPr>
      <t>,Q</t>
    </r>
    <r>
      <rPr>
        <b/>
        <vertAlign val="subscript"/>
        <sz val="12"/>
        <rFont val="Arial"/>
        <family val="2"/>
      </rPr>
      <t>50_S</t>
    </r>
    <r>
      <rPr>
        <b/>
        <sz val="12"/>
        <rFont val="Arial"/>
        <family val="2"/>
      </rPr>
      <t>, Q</t>
    </r>
    <r>
      <rPr>
        <b/>
        <vertAlign val="subscript"/>
        <sz val="12"/>
        <rFont val="Arial"/>
        <family val="2"/>
      </rPr>
      <t>30_S</t>
    </r>
    <r>
      <rPr>
        <b/>
        <sz val="12"/>
        <rFont val="Arial"/>
        <family val="2"/>
      </rPr>
      <t xml:space="preserve"> Q</t>
    </r>
    <r>
      <rPr>
        <b/>
        <vertAlign val="subscript"/>
        <sz val="12"/>
        <rFont val="Arial"/>
        <family val="2"/>
      </rPr>
      <t>10_S</t>
    </r>
    <r>
      <rPr>
        <b/>
        <sz val="12"/>
        <rFont val="Arial"/>
        <family val="2"/>
      </rPr>
      <t>)</t>
    </r>
  </si>
  <si>
    <t>Calcolo del tempo di corrivazione</t>
  </si>
  <si>
    <t>Si adotta il metodo razionale</t>
  </si>
  <si>
    <r>
      <t>Q</t>
    </r>
    <r>
      <rPr>
        <b/>
        <vertAlign val="subscript"/>
        <sz val="10"/>
        <rFont val="Arial"/>
        <family val="2"/>
      </rPr>
      <t xml:space="preserve">50, S </t>
    </r>
    <r>
      <rPr>
        <b/>
        <sz val="10"/>
        <rFont val="Arial"/>
        <family val="2"/>
      </rPr>
      <t>=</t>
    </r>
  </si>
  <si>
    <t>Geometria in caso di portata massima transitabile</t>
  </si>
  <si>
    <t>cm</t>
  </si>
  <si>
    <t>Diametro(cm)</t>
  </si>
  <si>
    <t>fr (cm)</t>
  </si>
  <si>
    <t>A (mq)</t>
  </si>
  <si>
    <t>C (m)</t>
  </si>
  <si>
    <t>R (m)</t>
  </si>
  <si>
    <t>Q (mc/sec)</t>
  </si>
  <si>
    <r>
      <t>Q</t>
    </r>
    <r>
      <rPr>
        <vertAlign val="subscript"/>
        <sz val="10"/>
        <rFont val="Arial"/>
        <family val="2"/>
      </rPr>
      <t xml:space="preserve">10, S </t>
    </r>
    <r>
      <rPr>
        <sz val="10"/>
        <rFont val="Arial"/>
        <family val="2"/>
      </rPr>
      <t>=</t>
    </r>
  </si>
  <si>
    <r>
      <t>Q</t>
    </r>
    <r>
      <rPr>
        <vertAlign val="subscript"/>
        <sz val="10"/>
        <rFont val="Arial"/>
        <family val="2"/>
      </rPr>
      <t>10_S</t>
    </r>
    <r>
      <rPr>
        <sz val="10"/>
        <rFont val="Arial"/>
        <family val="2"/>
      </rPr>
      <t>=</t>
    </r>
  </si>
  <si>
    <t>(da tabella)</t>
  </si>
  <si>
    <t>Manufatto circolare - verifica portata max ammissibile (h=0,94D)</t>
  </si>
  <si>
    <t>D=</t>
  </si>
  <si>
    <t>diametro interno</t>
  </si>
  <si>
    <t>scabrezza</t>
  </si>
  <si>
    <r>
      <t>Q</t>
    </r>
    <r>
      <rPr>
        <b/>
        <vertAlign val="subscript"/>
        <sz val="10"/>
        <rFont val="Arial"/>
        <family val="2"/>
      </rPr>
      <t>M</t>
    </r>
    <r>
      <rPr>
        <b/>
        <sz val="10"/>
        <rFont val="Arial"/>
        <family val="2"/>
      </rPr>
      <t xml:space="preserve"> =</t>
    </r>
  </si>
  <si>
    <t xml:space="preserve">Dati </t>
  </si>
  <si>
    <t>DATI TUBAZIONI                                                   (in corrispondenza di Qmax)</t>
  </si>
  <si>
    <t>con grado di riempimento h/D=</t>
  </si>
  <si>
    <t xml:space="preserve">h / D = </t>
  </si>
  <si>
    <r>
      <t>b</t>
    </r>
    <r>
      <rPr>
        <sz val="10"/>
        <rFont val="Arial"/>
        <family val="2"/>
      </rPr>
      <t>/2 (rad) =</t>
    </r>
  </si>
  <si>
    <t>rad</t>
  </si>
  <si>
    <r>
      <t>b</t>
    </r>
    <r>
      <rPr>
        <sz val="10"/>
        <rFont val="Arial"/>
        <family val="2"/>
      </rPr>
      <t>/2 (°) =</t>
    </r>
  </si>
  <si>
    <t>°</t>
  </si>
  <si>
    <r>
      <t>b</t>
    </r>
    <r>
      <rPr>
        <sz val="10"/>
        <rFont val="Arial"/>
        <family val="2"/>
      </rPr>
      <t xml:space="preserve"> (rad) =</t>
    </r>
  </si>
  <si>
    <r>
      <t>b</t>
    </r>
    <r>
      <rPr>
        <sz val="10"/>
        <rFont val="Arial"/>
        <family val="2"/>
      </rPr>
      <t xml:space="preserve"> (°) =</t>
    </r>
  </si>
  <si>
    <r>
      <t>a</t>
    </r>
    <r>
      <rPr>
        <sz val="10"/>
        <rFont val="Arial"/>
        <family val="2"/>
      </rPr>
      <t xml:space="preserve"> (rad) =</t>
    </r>
  </si>
  <si>
    <r>
      <t>a</t>
    </r>
    <r>
      <rPr>
        <sz val="10"/>
        <rFont val="Arial"/>
        <family val="2"/>
      </rPr>
      <t xml:space="preserve"> (°) =</t>
    </r>
  </si>
  <si>
    <t>Condizione di massimo riempimento: h/D=0,94</t>
  </si>
  <si>
    <t>Diametro (cm)</t>
  </si>
  <si>
    <r>
      <t>Q</t>
    </r>
    <r>
      <rPr>
        <b/>
        <vertAlign val="subscript"/>
        <sz val="10"/>
        <rFont val="Arial"/>
        <family val="2"/>
      </rPr>
      <t xml:space="preserve">10, S </t>
    </r>
    <r>
      <rPr>
        <b/>
        <sz val="10"/>
        <rFont val="Arial"/>
        <family val="2"/>
      </rPr>
      <t>=</t>
    </r>
  </si>
  <si>
    <r>
      <t>Q</t>
    </r>
    <r>
      <rPr>
        <vertAlign val="subscript"/>
        <sz val="10"/>
        <rFont val="Arial"/>
        <family val="2"/>
      </rPr>
      <t xml:space="preserve">30, S </t>
    </r>
    <r>
      <rPr>
        <sz val="10"/>
        <rFont val="Arial"/>
        <family val="2"/>
      </rPr>
      <t>=</t>
    </r>
  </si>
  <si>
    <r>
      <t>Q</t>
    </r>
    <r>
      <rPr>
        <vertAlign val="subscript"/>
        <sz val="10"/>
        <rFont val="Arial"/>
        <family val="2"/>
      </rPr>
      <t xml:space="preserve">50, S </t>
    </r>
    <r>
      <rPr>
        <sz val="10"/>
        <rFont val="Arial"/>
        <family val="2"/>
      </rPr>
      <t>=</t>
    </r>
  </si>
  <si>
    <r>
      <t>Q</t>
    </r>
    <r>
      <rPr>
        <vertAlign val="subscript"/>
        <sz val="10"/>
        <rFont val="Arial"/>
        <family val="2"/>
      </rPr>
      <t xml:space="preserve">200, S </t>
    </r>
    <r>
      <rPr>
        <sz val="10"/>
        <rFont val="Arial"/>
        <family val="2"/>
      </rPr>
      <t>=</t>
    </r>
  </si>
  <si>
    <r>
      <t>Q</t>
    </r>
    <r>
      <rPr>
        <b/>
        <vertAlign val="subscript"/>
        <sz val="10"/>
        <rFont val="Arial"/>
        <family val="2"/>
      </rPr>
      <t>10_S</t>
    </r>
    <r>
      <rPr>
        <b/>
        <sz val="10"/>
        <rFont val="Arial"/>
        <family val="2"/>
      </rPr>
      <t>=</t>
    </r>
  </si>
  <si>
    <t>NOME CANALE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</si>
</sst>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00"/>
    <numFmt numFmtId="165" formatCode="0.0000"/>
    <numFmt numFmtId="166" formatCode="0.000"/>
    <numFmt numFmtId="167" formatCode="0.0"/>
  </numFmts>
  <fonts count="49" x14ac:knownFonts="1">
    <font>
      <sz val="10"/>
      <name val="Arial"/>
    </font>
    <font>
      <sz val="10"/>
      <name val="Arial"/>
      <family val="2"/>
    </font>
    <font>
      <vertAlign val="subscript"/>
      <sz val="10"/>
      <name val="Arial"/>
      <family val="2"/>
    </font>
    <font>
      <vertAlign val="superscript"/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vertAlign val="superscript"/>
      <sz val="10"/>
      <name val="Arial"/>
      <family val="2"/>
    </font>
    <font>
      <sz val="10"/>
      <name val="Symbol"/>
      <family val="1"/>
      <charset val="2"/>
    </font>
    <font>
      <sz val="9"/>
      <name val="Arial"/>
      <family val="2"/>
    </font>
    <font>
      <b/>
      <sz val="10"/>
      <name val="Symbol"/>
      <family val="1"/>
      <charset val="2"/>
    </font>
    <font>
      <sz val="14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indexed="56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u/>
      <sz val="10"/>
      <name val="Times New Roman"/>
      <family val="1"/>
    </font>
    <font>
      <sz val="11"/>
      <name val="Times New Roman"/>
      <family val="1"/>
    </font>
    <font>
      <sz val="10"/>
      <color indexed="10"/>
      <name val="Times New Roman"/>
      <family val="1"/>
    </font>
    <font>
      <i/>
      <sz val="10"/>
      <name val="Times New Roman"/>
      <family val="1"/>
    </font>
    <font>
      <u/>
      <sz val="11"/>
      <name val="Times New Roman"/>
      <family val="1"/>
    </font>
    <font>
      <b/>
      <vertAlign val="subscript"/>
      <sz val="12"/>
      <name val="Arial"/>
      <family val="2"/>
    </font>
    <font>
      <sz val="10"/>
      <name val="Arial"/>
      <family val="2"/>
    </font>
    <font>
      <sz val="11"/>
      <name val="Symbol"/>
      <family val="1"/>
      <charset val="2"/>
    </font>
    <font>
      <i/>
      <sz val="11"/>
      <name val="Arial"/>
      <family val="2"/>
    </font>
    <font>
      <b/>
      <sz val="10"/>
      <color indexed="10"/>
      <name val="Times New Roman"/>
      <family val="1"/>
    </font>
    <font>
      <u/>
      <sz val="11"/>
      <name val="Arial"/>
      <family val="2"/>
    </font>
    <font>
      <sz val="11"/>
      <name val="Arial"/>
      <family val="2"/>
    </font>
    <font>
      <b/>
      <sz val="10"/>
      <color indexed="10"/>
      <name val="Arial"/>
      <family val="2"/>
    </font>
    <font>
      <b/>
      <sz val="8"/>
      <name val="Arial"/>
      <family val="2"/>
    </font>
    <font>
      <b/>
      <vertAlign val="subscript"/>
      <sz val="8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10"/>
      <color indexed="56"/>
      <name val="Arial"/>
      <family val="2"/>
    </font>
    <font>
      <b/>
      <sz val="12"/>
      <color indexed="56"/>
      <name val="Arial"/>
      <family val="2"/>
    </font>
    <font>
      <b/>
      <i/>
      <sz val="10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ahoma"/>
      <family val="2"/>
    </font>
    <font>
      <b/>
      <u/>
      <sz val="11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5">
    <xf numFmtId="0" fontId="0" fillId="0" borderId="0" xfId="0"/>
    <xf numFmtId="166" fontId="10" fillId="0" borderId="0" xfId="0" applyNumberFormat="1" applyFont="1" applyProtection="1">
      <protection hidden="1"/>
    </xf>
    <xf numFmtId="0" fontId="5" fillId="0" borderId="0" xfId="0" applyFont="1"/>
    <xf numFmtId="0" fontId="0" fillId="0" borderId="0" xfId="0" applyAlignment="1">
      <alignment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6" fillId="0" borderId="0" xfId="0" applyFont="1"/>
    <xf numFmtId="2" fontId="16" fillId="0" borderId="0" xfId="0" applyNumberFormat="1" applyFont="1"/>
    <xf numFmtId="0" fontId="17" fillId="0" borderId="0" xfId="0" applyFont="1"/>
    <xf numFmtId="0" fontId="18" fillId="0" borderId="0" xfId="0" applyFont="1"/>
    <xf numFmtId="0" fontId="21" fillId="0" borderId="0" xfId="0" applyFont="1" applyAlignment="1">
      <alignment horizontal="center"/>
    </xf>
    <xf numFmtId="0" fontId="24" fillId="0" borderId="0" xfId="0" applyFont="1"/>
    <xf numFmtId="0" fontId="24" fillId="0" borderId="0" xfId="0" applyFont="1" applyAlignment="1">
      <alignment horizontal="left"/>
    </xf>
    <xf numFmtId="0" fontId="21" fillId="0" borderId="0" xfId="0" applyFont="1"/>
    <xf numFmtId="0" fontId="22" fillId="0" borderId="0" xfId="0" applyFont="1" applyAlignment="1">
      <alignment horizontal="center"/>
    </xf>
    <xf numFmtId="2" fontId="19" fillId="0" borderId="0" xfId="0" applyNumberFormat="1" applyFont="1" applyAlignment="1">
      <alignment horizontal="center"/>
    </xf>
    <xf numFmtId="2" fontId="21" fillId="0" borderId="0" xfId="0" applyNumberFormat="1" applyFont="1"/>
    <xf numFmtId="0" fontId="19" fillId="0" borderId="0" xfId="0" applyFont="1"/>
    <xf numFmtId="0" fontId="14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4" fillId="0" borderId="0" xfId="0" applyFont="1"/>
    <xf numFmtId="0" fontId="20" fillId="2" borderId="0" xfId="0" applyFont="1" applyFill="1" applyAlignment="1">
      <alignment horizontal="center" vertical="center" wrapText="1"/>
    </xf>
    <xf numFmtId="2" fontId="4" fillId="0" borderId="0" xfId="0" applyNumberFormat="1" applyFont="1" applyProtection="1">
      <protection locked="0"/>
    </xf>
    <xf numFmtId="0" fontId="0" fillId="0" borderId="0" xfId="0" applyAlignment="1">
      <alignment horizontal="left"/>
    </xf>
    <xf numFmtId="165" fontId="5" fillId="0" borderId="0" xfId="0" applyNumberFormat="1" applyFont="1"/>
    <xf numFmtId="2" fontId="4" fillId="0" borderId="0" xfId="0" applyNumberFormat="1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right"/>
      <protection locked="0"/>
    </xf>
    <xf numFmtId="164" fontId="4" fillId="0" borderId="0" xfId="0" applyNumberFormat="1" applyFont="1" applyProtection="1">
      <protection locked="0"/>
    </xf>
    <xf numFmtId="0" fontId="5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7" fillId="0" borderId="0" xfId="0" applyFont="1" applyAlignment="1" applyProtection="1">
      <alignment horizontal="left"/>
      <protection hidden="1"/>
    </xf>
    <xf numFmtId="0" fontId="23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locked="0" hidden="1"/>
    </xf>
    <xf numFmtId="0" fontId="25" fillId="0" borderId="0" xfId="0" applyFont="1" applyAlignment="1" applyProtection="1">
      <alignment horizontal="centerContinuous"/>
      <protection hidden="1"/>
    </xf>
    <xf numFmtId="0" fontId="24" fillId="0" borderId="0" xfId="0" applyFont="1" applyAlignment="1" applyProtection="1">
      <alignment horizontal="centerContinuous"/>
      <protection hidden="1"/>
    </xf>
    <xf numFmtId="0" fontId="35" fillId="0" borderId="0" xfId="0" applyFont="1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0" xfId="0" applyFont="1" applyAlignment="1" applyProtection="1">
      <alignment horizontal="left"/>
      <protection hidden="1"/>
    </xf>
    <xf numFmtId="2" fontId="4" fillId="0" borderId="0" xfId="0" applyNumberFormat="1" applyFont="1" applyProtection="1">
      <protection locked="0" hidden="1"/>
    </xf>
    <xf numFmtId="164" fontId="4" fillId="0" borderId="0" xfId="0" applyNumberFormat="1" applyFont="1" applyAlignment="1" applyProtection="1">
      <alignment horizontal="right"/>
      <protection locked="0" hidden="1"/>
    </xf>
    <xf numFmtId="0" fontId="27" fillId="0" borderId="0" xfId="0" applyFont="1" applyAlignment="1" applyProtection="1">
      <alignment horizontal="center"/>
      <protection hidden="1"/>
    </xf>
    <xf numFmtId="2" fontId="5" fillId="0" borderId="0" xfId="0" applyNumberFormat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2" fontId="5" fillId="0" borderId="0" xfId="0" applyNumberFormat="1" applyFont="1" applyAlignment="1" applyProtection="1">
      <alignment horizontal="left"/>
      <protection hidden="1"/>
    </xf>
    <xf numFmtId="2" fontId="5" fillId="0" borderId="0" xfId="0" applyNumberFormat="1" applyFont="1" applyAlignment="1" applyProtection="1">
      <alignment horizontal="center"/>
      <protection hidden="1"/>
    </xf>
    <xf numFmtId="2" fontId="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4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left"/>
      <protection hidden="1"/>
    </xf>
    <xf numFmtId="0" fontId="24" fillId="0" borderId="0" xfId="0" applyFont="1" applyAlignment="1" applyProtection="1">
      <alignment horizontal="left"/>
      <protection hidden="1"/>
    </xf>
    <xf numFmtId="2" fontId="10" fillId="0" borderId="0" xfId="0" applyNumberFormat="1" applyFont="1" applyAlignment="1" applyProtection="1">
      <alignment horizontal="right"/>
      <protection hidden="1"/>
    </xf>
    <xf numFmtId="0" fontId="24" fillId="0" borderId="0" xfId="0" applyFont="1" applyAlignment="1" applyProtection="1">
      <alignment horizontal="right"/>
      <protection hidden="1"/>
    </xf>
    <xf numFmtId="2" fontId="24" fillId="0" borderId="0" xfId="0" applyNumberFormat="1" applyFont="1" applyAlignment="1" applyProtection="1">
      <alignment horizontal="left"/>
      <protection hidden="1"/>
    </xf>
    <xf numFmtId="0" fontId="23" fillId="0" borderId="0" xfId="0" applyFont="1" applyProtection="1">
      <protection hidden="1"/>
    </xf>
    <xf numFmtId="0" fontId="15" fillId="0" borderId="0" xfId="0" applyFont="1" applyAlignment="1" applyProtection="1">
      <alignment horizontal="center"/>
      <protection hidden="1"/>
    </xf>
    <xf numFmtId="2" fontId="24" fillId="0" borderId="0" xfId="0" applyNumberFormat="1" applyFont="1" applyAlignment="1" applyProtection="1">
      <alignment horizontal="center"/>
      <protection hidden="1"/>
    </xf>
    <xf numFmtId="0" fontId="24" fillId="0" borderId="1" xfId="0" applyFont="1" applyBorder="1" applyAlignment="1" applyProtection="1">
      <alignment horizontal="center"/>
      <protection locked="0" hidden="1"/>
    </xf>
    <xf numFmtId="0" fontId="24" fillId="0" borderId="0" xfId="0" applyFont="1" applyAlignment="1">
      <alignment horizontal="center"/>
    </xf>
    <xf numFmtId="0" fontId="24" fillId="0" borderId="0" xfId="0" applyFont="1" applyProtection="1">
      <protection locked="0"/>
    </xf>
    <xf numFmtId="0" fontId="8" fillId="0" borderId="0" xfId="0" applyFont="1" applyAlignment="1" applyProtection="1">
      <alignment horizontal="left"/>
      <protection hidden="1"/>
    </xf>
    <xf numFmtId="0" fontId="36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6" fillId="0" borderId="0" xfId="0" applyFont="1" applyProtection="1">
      <protection hidden="1"/>
    </xf>
    <xf numFmtId="2" fontId="4" fillId="0" borderId="0" xfId="0" applyNumberFormat="1" applyFont="1" applyAlignment="1" applyProtection="1">
      <alignment horizontal="right"/>
      <protection locked="0" hidden="1"/>
    </xf>
    <xf numFmtId="0" fontId="6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2" fillId="0" borderId="0" xfId="0" applyFont="1" applyProtection="1">
      <protection hidden="1"/>
    </xf>
    <xf numFmtId="2" fontId="36" fillId="0" borderId="0" xfId="0" applyNumberFormat="1" applyFont="1" applyAlignment="1" applyProtection="1">
      <alignment horizontal="center"/>
      <protection locked="0" hidden="1"/>
    </xf>
    <xf numFmtId="0" fontId="38" fillId="4" borderId="2" xfId="0" applyFont="1" applyFill="1" applyBorder="1" applyAlignment="1" applyProtection="1">
      <alignment horizontal="center" vertical="center" wrapText="1"/>
      <protection hidden="1"/>
    </xf>
    <xf numFmtId="0" fontId="38" fillId="4" borderId="3" xfId="0" applyFont="1" applyFill="1" applyBorder="1" applyAlignment="1" applyProtection="1">
      <alignment horizontal="center"/>
      <protection hidden="1"/>
    </xf>
    <xf numFmtId="0" fontId="38" fillId="4" borderId="4" xfId="0" applyFont="1" applyFill="1" applyBorder="1" applyAlignment="1" applyProtection="1">
      <alignment horizontal="center" vertical="center" wrapText="1"/>
      <protection hidden="1"/>
    </xf>
    <xf numFmtId="0" fontId="38" fillId="4" borderId="1" xfId="0" applyFont="1" applyFill="1" applyBorder="1" applyAlignment="1" applyProtection="1">
      <alignment horizontal="center" vertical="center" wrapText="1"/>
      <protection hidden="1"/>
    </xf>
    <xf numFmtId="0" fontId="38" fillId="4" borderId="4" xfId="0" applyFont="1" applyFill="1" applyBorder="1" applyAlignment="1" applyProtection="1">
      <alignment horizontal="center" wrapText="1"/>
      <protection hidden="1"/>
    </xf>
    <xf numFmtId="0" fontId="38" fillId="0" borderId="5" xfId="0" applyFont="1" applyBorder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38" fillId="0" borderId="6" xfId="0" applyFont="1" applyBorder="1" applyAlignment="1" applyProtection="1">
      <alignment horizontal="center"/>
      <protection hidden="1"/>
    </xf>
    <xf numFmtId="2" fontId="18" fillId="0" borderId="1" xfId="0" applyNumberFormat="1" applyFont="1" applyBorder="1" applyAlignment="1" applyProtection="1">
      <alignment horizontal="center"/>
      <protection hidden="1"/>
    </xf>
    <xf numFmtId="2" fontId="38" fillId="0" borderId="1" xfId="0" applyNumberFormat="1" applyFont="1" applyBorder="1" applyProtection="1">
      <protection hidden="1"/>
    </xf>
    <xf numFmtId="0" fontId="38" fillId="0" borderId="7" xfId="0" applyFont="1" applyBorder="1" applyAlignment="1" applyProtection="1">
      <alignment horizontal="center"/>
      <protection hidden="1"/>
    </xf>
    <xf numFmtId="0" fontId="18" fillId="0" borderId="8" xfId="0" applyFont="1" applyBorder="1" applyAlignment="1" applyProtection="1">
      <alignment horizontal="center"/>
      <protection hidden="1"/>
    </xf>
    <xf numFmtId="0" fontId="38" fillId="0" borderId="9" xfId="0" applyFont="1" applyBorder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2" fontId="10" fillId="0" borderId="0" xfId="0" applyNumberFormat="1" applyFont="1" applyProtection="1">
      <protection hidden="1"/>
    </xf>
    <xf numFmtId="0" fontId="37" fillId="4" borderId="2" xfId="0" applyFont="1" applyFill="1" applyBorder="1" applyAlignment="1" applyProtection="1">
      <alignment horizontal="center" vertical="center"/>
      <protection locked="0" hidden="1"/>
    </xf>
    <xf numFmtId="0" fontId="10" fillId="4" borderId="3" xfId="0" applyFont="1" applyFill="1" applyBorder="1" applyAlignment="1" applyProtection="1">
      <alignment horizontal="center" vertical="center"/>
      <protection hidden="1"/>
    </xf>
    <xf numFmtId="0" fontId="37" fillId="4" borderId="3" xfId="0" applyFont="1" applyFill="1" applyBorder="1" applyAlignment="1" applyProtection="1">
      <alignment horizontal="center" vertical="center"/>
      <protection locked="0" hidden="1"/>
    </xf>
    <xf numFmtId="2" fontId="5" fillId="4" borderId="1" xfId="0" applyNumberFormat="1" applyFont="1" applyFill="1" applyBorder="1" applyAlignment="1" applyProtection="1">
      <alignment horizontal="center" vertical="center"/>
      <protection hidden="1"/>
    </xf>
    <xf numFmtId="2" fontId="10" fillId="4" borderId="1" xfId="0" applyNumberFormat="1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horizontal="left"/>
      <protection hidden="1"/>
    </xf>
    <xf numFmtId="0" fontId="34" fillId="0" borderId="0" xfId="0" applyFont="1" applyAlignment="1" applyProtection="1">
      <alignment horizontal="center"/>
      <protection hidden="1"/>
    </xf>
    <xf numFmtId="2" fontId="31" fillId="0" borderId="0" xfId="0" applyNumberFormat="1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24" fillId="0" borderId="1" xfId="0" applyFont="1" applyBorder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2" fontId="19" fillId="0" borderId="0" xfId="0" applyNumberFormat="1" applyFont="1" applyAlignment="1" applyProtection="1">
      <alignment horizontal="center"/>
      <protection hidden="1"/>
    </xf>
    <xf numFmtId="2" fontId="38" fillId="0" borderId="0" xfId="0" applyNumberFormat="1" applyFont="1" applyProtection="1">
      <protection hidden="1"/>
    </xf>
    <xf numFmtId="0" fontId="19" fillId="0" borderId="0" xfId="0" applyFont="1" applyProtection="1">
      <protection hidden="1"/>
    </xf>
    <xf numFmtId="0" fontId="20" fillId="2" borderId="0" xfId="0" applyFont="1" applyFill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locked="0" hidden="1"/>
    </xf>
    <xf numFmtId="0" fontId="0" fillId="0" borderId="8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165" fontId="5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0" fontId="10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top"/>
      <protection hidden="1"/>
    </xf>
    <xf numFmtId="0" fontId="45" fillId="0" borderId="0" xfId="0" applyFont="1" applyAlignment="1" applyProtection="1">
      <alignment horizontal="left"/>
      <protection locked="0"/>
    </xf>
    <xf numFmtId="2" fontId="5" fillId="6" borderId="0" xfId="0" applyNumberFormat="1" applyFont="1" applyFill="1" applyAlignment="1" applyProtection="1">
      <alignment horizontal="right"/>
      <protection hidden="1"/>
    </xf>
    <xf numFmtId="0" fontId="46" fillId="0" borderId="0" xfId="0" applyFont="1" applyAlignment="1" applyProtection="1">
      <alignment horizontal="left" vertical="center"/>
      <protection hidden="1"/>
    </xf>
    <xf numFmtId="2" fontId="14" fillId="0" borderId="1" xfId="0" applyNumberFormat="1" applyFont="1" applyBorder="1" applyAlignment="1" applyProtection="1">
      <alignment horizontal="right"/>
      <protection hidden="1"/>
    </xf>
    <xf numFmtId="0" fontId="14" fillId="0" borderId="1" xfId="0" applyFont="1" applyBorder="1"/>
    <xf numFmtId="2" fontId="14" fillId="0" borderId="1" xfId="0" applyNumberFormat="1" applyFont="1" applyBorder="1"/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 applyProtection="1">
      <alignment horizontal="center"/>
      <protection hidden="1"/>
    </xf>
    <xf numFmtId="0" fontId="21" fillId="0" borderId="1" xfId="0" applyFont="1" applyBorder="1" applyAlignment="1" applyProtection="1">
      <alignment horizontal="right"/>
      <protection hidden="1"/>
    </xf>
    <xf numFmtId="2" fontId="21" fillId="0" borderId="1" xfId="0" applyNumberFormat="1" applyFont="1" applyBorder="1" applyAlignment="1" applyProtection="1">
      <alignment horizontal="right"/>
      <protection hidden="1"/>
    </xf>
    <xf numFmtId="2" fontId="21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43" fontId="21" fillId="0" borderId="0" xfId="1" applyFont="1" applyProtection="1">
      <protection hidden="1"/>
    </xf>
    <xf numFmtId="166" fontId="21" fillId="0" borderId="0" xfId="0" applyNumberFormat="1" applyFont="1" applyProtection="1">
      <protection hidden="1"/>
    </xf>
    <xf numFmtId="43" fontId="14" fillId="0" borderId="1" xfId="1" applyFont="1" applyBorder="1"/>
    <xf numFmtId="0" fontId="1" fillId="0" borderId="0" xfId="0" applyFont="1" applyProtection="1">
      <protection hidden="1"/>
    </xf>
    <xf numFmtId="0" fontId="10" fillId="6" borderId="0" xfId="0" applyFont="1" applyFill="1" applyProtection="1">
      <protection hidden="1"/>
    </xf>
    <xf numFmtId="0" fontId="0" fillId="6" borderId="0" xfId="0" applyFill="1"/>
    <xf numFmtId="166" fontId="10" fillId="6" borderId="0" xfId="0" applyNumberFormat="1" applyFont="1" applyFill="1" applyProtection="1">
      <protection hidden="1"/>
    </xf>
    <xf numFmtId="43" fontId="10" fillId="6" borderId="0" xfId="0" applyNumberFormat="1" applyFont="1" applyFill="1" applyProtection="1">
      <protection hidden="1"/>
    </xf>
    <xf numFmtId="0" fontId="6" fillId="0" borderId="0" xfId="0" applyFont="1"/>
    <xf numFmtId="167" fontId="0" fillId="0" borderId="1" xfId="0" applyNumberFormat="1" applyBorder="1" applyAlignment="1">
      <alignment horizontal="center"/>
    </xf>
    <xf numFmtId="166" fontId="0" fillId="0" borderId="1" xfId="0" applyNumberFormat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center"/>
    </xf>
    <xf numFmtId="166" fontId="4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>
      <alignment horizontal="center"/>
    </xf>
    <xf numFmtId="0" fontId="13" fillId="0" borderId="0" xfId="0" applyFont="1"/>
    <xf numFmtId="0" fontId="5" fillId="6" borderId="0" xfId="0" applyFont="1" applyFill="1" applyProtection="1">
      <protection hidden="1"/>
    </xf>
    <xf numFmtId="0" fontId="24" fillId="6" borderId="0" xfId="0" applyFont="1" applyFill="1" applyProtection="1">
      <protection hidden="1"/>
    </xf>
    <xf numFmtId="0" fontId="1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0" xfId="0" applyNumberFormat="1"/>
    <xf numFmtId="2" fontId="0" fillId="0" borderId="0" xfId="0" applyNumberFormat="1"/>
    <xf numFmtId="2" fontId="10" fillId="0" borderId="0" xfId="0" applyNumberFormat="1" applyFont="1" applyAlignment="1">
      <alignment horizontal="center"/>
    </xf>
    <xf numFmtId="2" fontId="1" fillId="0" borderId="0" xfId="0" applyNumberFormat="1" applyFont="1" applyAlignment="1" applyProtection="1">
      <alignment horizontal="left"/>
      <protection hidden="1"/>
    </xf>
    <xf numFmtId="0" fontId="10" fillId="7" borderId="0" xfId="0" applyFont="1" applyFill="1"/>
    <xf numFmtId="2" fontId="10" fillId="7" borderId="0" xfId="0" applyNumberFormat="1" applyFont="1" applyFill="1" applyAlignment="1">
      <alignment horizontal="center"/>
    </xf>
    <xf numFmtId="0" fontId="7" fillId="0" borderId="0" xfId="0" applyFont="1"/>
    <xf numFmtId="0" fontId="44" fillId="3" borderId="10" xfId="0" applyFont="1" applyFill="1" applyBorder="1" applyAlignment="1">
      <alignment horizontal="left"/>
    </xf>
    <xf numFmtId="0" fontId="37" fillId="0" borderId="0" xfId="0" applyFont="1"/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4" fillId="0" borderId="0" xfId="0" applyFont="1"/>
    <xf numFmtId="0" fontId="15" fillId="0" borderId="14" xfId="0" applyFont="1" applyBorder="1" applyAlignment="1">
      <alignment horizontal="center"/>
    </xf>
    <xf numFmtId="166" fontId="0" fillId="0" borderId="15" xfId="0" applyNumberFormat="1" applyBorder="1"/>
    <xf numFmtId="0" fontId="15" fillId="0" borderId="16" xfId="0" applyFont="1" applyBorder="1" applyAlignment="1">
      <alignment horizontal="center"/>
    </xf>
    <xf numFmtId="1" fontId="4" fillId="0" borderId="0" xfId="0" applyNumberFormat="1" applyFont="1" applyAlignment="1" applyProtection="1">
      <alignment horizontal="center"/>
      <protection locked="0"/>
    </xf>
    <xf numFmtId="0" fontId="10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2" fontId="10" fillId="9" borderId="1" xfId="0" applyNumberFormat="1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43" fontId="10" fillId="0" borderId="0" xfId="0" applyNumberFormat="1" applyFont="1" applyProtection="1">
      <protection hidden="1"/>
    </xf>
    <xf numFmtId="0" fontId="24" fillId="0" borderId="1" xfId="0" applyFont="1" applyBorder="1" applyAlignment="1">
      <alignment horizontal="left"/>
    </xf>
    <xf numFmtId="2" fontId="10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38" fillId="0" borderId="0" xfId="0" applyFont="1" applyAlignment="1" applyProtection="1">
      <alignment horizontal="center" wrapText="1"/>
      <protection hidden="1"/>
    </xf>
    <xf numFmtId="0" fontId="14" fillId="0" borderId="1" xfId="0" applyFont="1" applyBorder="1" applyProtection="1">
      <protection locked="0"/>
    </xf>
    <xf numFmtId="2" fontId="14" fillId="0" borderId="1" xfId="0" applyNumberFormat="1" applyFont="1" applyBorder="1" applyProtection="1">
      <protection locked="0"/>
    </xf>
    <xf numFmtId="0" fontId="7" fillId="0" borderId="0" xfId="0" applyFont="1" applyAlignment="1" applyProtection="1">
      <alignment horizontal="left"/>
      <protection hidden="1"/>
    </xf>
    <xf numFmtId="0" fontId="0" fillId="0" borderId="0" xfId="0" applyAlignment="1">
      <alignment vertical="center" wrapText="1"/>
    </xf>
    <xf numFmtId="0" fontId="5" fillId="0" borderId="0" xfId="0" applyFont="1" applyAlignment="1" applyProtection="1">
      <alignment horizontal="left" wrapText="1"/>
      <protection hidden="1"/>
    </xf>
    <xf numFmtId="0" fontId="8" fillId="0" borderId="0" xfId="0" applyFont="1" applyAlignment="1" applyProtection="1">
      <alignment horizontal="left"/>
      <protection hidden="1"/>
    </xf>
    <xf numFmtId="0" fontId="10" fillId="5" borderId="17" xfId="0" applyFont="1" applyFill="1" applyBorder="1" applyAlignment="1" applyProtection="1">
      <alignment horizontal="center" vertical="center" wrapText="1"/>
      <protection hidden="1"/>
    </xf>
    <xf numFmtId="0" fontId="10" fillId="5" borderId="1" xfId="0" applyFont="1" applyFill="1" applyBorder="1" applyAlignment="1" applyProtection="1">
      <alignment horizontal="center" vertical="center" wrapText="1"/>
      <protection hidden="1"/>
    </xf>
    <xf numFmtId="0" fontId="42" fillId="3" borderId="1" xfId="0" applyFont="1" applyFill="1" applyBorder="1" applyAlignment="1">
      <alignment horizontal="center" vertical="center" wrapText="1"/>
    </xf>
    <xf numFmtId="0" fontId="43" fillId="3" borderId="18" xfId="0" applyFont="1" applyFill="1" applyBorder="1" applyAlignment="1">
      <alignment horizontal="center" wrapText="1"/>
    </xf>
    <xf numFmtId="0" fontId="43" fillId="3" borderId="19" xfId="0" applyFont="1" applyFill="1" applyBorder="1" applyAlignment="1">
      <alignment horizontal="center" wrapText="1"/>
    </xf>
    <xf numFmtId="0" fontId="43" fillId="3" borderId="20" xfId="0" applyFont="1" applyFill="1" applyBorder="1" applyAlignment="1">
      <alignment horizontal="center" wrapText="1"/>
    </xf>
    <xf numFmtId="0" fontId="44" fillId="3" borderId="21" xfId="0" applyFont="1" applyFill="1" applyBorder="1" applyAlignment="1">
      <alignment horizontal="right"/>
    </xf>
    <xf numFmtId="0" fontId="44" fillId="3" borderId="22" xfId="0" applyFont="1" applyFill="1" applyBorder="1" applyAlignment="1">
      <alignment horizontal="right"/>
    </xf>
    <xf numFmtId="0" fontId="0" fillId="0" borderId="0" xfId="0" applyAlignment="1">
      <alignment horizontal="left" wrapText="1"/>
    </xf>
    <xf numFmtId="0" fontId="8" fillId="0" borderId="0" xfId="0" applyFont="1" applyProtection="1">
      <protection hidden="1"/>
    </xf>
    <xf numFmtId="0" fontId="48" fillId="0" borderId="0" xfId="0" applyFont="1" applyAlignment="1" applyProtection="1">
      <alignment horizontal="left" vertical="center"/>
      <protection hidden="1"/>
    </xf>
  </cellXfs>
  <cellStyles count="2">
    <cellStyle name="Migliaia" xfId="1" builtinId="3"/>
    <cellStyle name="Normale" xfId="0" builtinId="0"/>
  </cellStyles>
  <dxfs count="6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2" fmlaLink="$R$8" fmlaRange="$M$8:$M$14" sel="5" val="0"/>
</file>

<file path=xl/ctrlProps/ctrlProp2.xml><?xml version="1.0" encoding="utf-8"?>
<formControlPr xmlns="http://schemas.microsoft.com/office/spreadsheetml/2009/9/main" objectType="CheckBox" checked="Checked" fmlaLink="$M$42" lockText="1" noThreeD="1"/>
</file>

<file path=xl/ctrlProps/ctrlProp3.xml><?xml version="1.0" encoding="utf-8"?>
<formControlPr xmlns="http://schemas.microsoft.com/office/spreadsheetml/2009/9/main" objectType="Drop" dropStyle="combo" dx="22" fmlaLink="$O$4" fmlaRange="$L$4:$L$10" sel="5" val="0"/>
</file>

<file path=xl/ctrlProps/ctrlProp4.xml><?xml version="1.0" encoding="utf-8"?>
<formControlPr xmlns="http://schemas.microsoft.com/office/spreadsheetml/2009/9/main" objectType="CheckBox" checked="Checked" fmlaLink="$N$62" lockText="1" noThreeD="1"/>
</file>

<file path=xl/ctrlProps/ctrlProp5.xml><?xml version="1.0" encoding="utf-8"?>
<formControlPr xmlns="http://schemas.microsoft.com/office/spreadsheetml/2009/9/main" objectType="Drop" dropStyle="combo" dx="22" fmlaLink="$O$3" fmlaRange="$L$3:$L$9" sel="3" val="0"/>
</file>

<file path=xl/ctrlProps/ctrlProp6.xml><?xml version="1.0" encoding="utf-8"?>
<formControlPr xmlns="http://schemas.microsoft.com/office/spreadsheetml/2009/9/main" objectType="CheckBox" checked="Checked" fmlaLink="$N$64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4" Type="http://schemas.openxmlformats.org/officeDocument/2006/relationships/image" Target="../media/image10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jpeg"/><Relationship Id="rId2" Type="http://schemas.openxmlformats.org/officeDocument/2006/relationships/image" Target="../media/image14.jpeg"/><Relationship Id="rId1" Type="http://schemas.openxmlformats.org/officeDocument/2006/relationships/image" Target="../media/image13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7.jpeg"/><Relationship Id="rId1" Type="http://schemas.openxmlformats.org/officeDocument/2006/relationships/image" Target="../media/image16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jpeg"/><Relationship Id="rId1" Type="http://schemas.openxmlformats.org/officeDocument/2006/relationships/image" Target="../media/image18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5.emf"/><Relationship Id="rId1" Type="http://schemas.openxmlformats.org/officeDocument/2006/relationships/image" Target="../media/image1.emf"/><Relationship Id="rId5" Type="http://schemas.openxmlformats.org/officeDocument/2006/relationships/image" Target="../media/image4.emf"/><Relationship Id="rId4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18</xdr:row>
      <xdr:rowOff>114300</xdr:rowOff>
    </xdr:from>
    <xdr:to>
      <xdr:col>5</xdr:col>
      <xdr:colOff>276225</xdr:colOff>
      <xdr:row>31</xdr:row>
      <xdr:rowOff>85725</xdr:rowOff>
    </xdr:to>
    <xdr:pic>
      <xdr:nvPicPr>
        <xdr:cNvPr id="21684" name="Picture 1">
          <a:extLst>
            <a:ext uri="{FF2B5EF4-FFF2-40B4-BE49-F238E27FC236}">
              <a16:creationId xmlns:a16="http://schemas.microsoft.com/office/drawing/2014/main" id="{00000000-0008-0000-0000-0000B4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3352800"/>
          <a:ext cx="4295775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36</xdr:row>
          <xdr:rowOff>142875</xdr:rowOff>
        </xdr:from>
        <xdr:to>
          <xdr:col>1</xdr:col>
          <xdr:colOff>142875</xdr:colOff>
          <xdr:row>39</xdr:row>
          <xdr:rowOff>133350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0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85</xdr:row>
          <xdr:rowOff>66675</xdr:rowOff>
        </xdr:from>
        <xdr:to>
          <xdr:col>1</xdr:col>
          <xdr:colOff>123825</xdr:colOff>
          <xdr:row>86</xdr:row>
          <xdr:rowOff>47625</xdr:rowOff>
        </xdr:to>
        <xdr:sp macro="" textlink="">
          <xdr:nvSpPr>
            <xdr:cNvPr id="21507" name="Object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0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56</xdr:row>
          <xdr:rowOff>142875</xdr:rowOff>
        </xdr:from>
        <xdr:to>
          <xdr:col>1</xdr:col>
          <xdr:colOff>600075</xdr:colOff>
          <xdr:row>58</xdr:row>
          <xdr:rowOff>85725</xdr:rowOff>
        </xdr:to>
        <xdr:sp macro="" textlink="">
          <xdr:nvSpPr>
            <xdr:cNvPr id="21508" name="Object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0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56</xdr:row>
          <xdr:rowOff>142875</xdr:rowOff>
        </xdr:from>
        <xdr:to>
          <xdr:col>4</xdr:col>
          <xdr:colOff>152400</xdr:colOff>
          <xdr:row>58</xdr:row>
          <xdr:rowOff>85725</xdr:rowOff>
        </xdr:to>
        <xdr:sp macro="" textlink="">
          <xdr:nvSpPr>
            <xdr:cNvPr id="21509" name="Object 5" hidden="1">
              <a:extLst>
                <a:ext uri="{63B3BB69-23CF-44E3-9099-C40C66FF867C}">
                  <a14:compatExt spid="_x0000_s21509"/>
                </a:ext>
                <a:ext uri="{FF2B5EF4-FFF2-40B4-BE49-F238E27FC236}">
                  <a16:creationId xmlns:a16="http://schemas.microsoft.com/office/drawing/2014/main" id="{00000000-0008-0000-0000-000005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1000125</xdr:colOff>
          <xdr:row>6</xdr:row>
          <xdr:rowOff>76200</xdr:rowOff>
        </xdr:from>
        <xdr:to>
          <xdr:col>2</xdr:col>
          <xdr:colOff>428625</xdr:colOff>
          <xdr:row>7</xdr:row>
          <xdr:rowOff>123825</xdr:rowOff>
        </xdr:to>
        <xdr:sp macro="" textlink="">
          <xdr:nvSpPr>
            <xdr:cNvPr id="21511" name="Object 7" hidden="1">
              <a:extLst>
                <a:ext uri="{63B3BB69-23CF-44E3-9099-C40C66FF867C}">
                  <a14:compatExt spid="_x0000_s21511"/>
                </a:ext>
                <a:ext uri="{FF2B5EF4-FFF2-40B4-BE49-F238E27FC236}">
                  <a16:creationId xmlns:a16="http://schemas.microsoft.com/office/drawing/2014/main" id="{00000000-0008-0000-0000-000007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43</xdr:row>
          <xdr:rowOff>0</xdr:rowOff>
        </xdr:from>
        <xdr:to>
          <xdr:col>1</xdr:col>
          <xdr:colOff>752475</xdr:colOff>
          <xdr:row>45</xdr:row>
          <xdr:rowOff>123825</xdr:rowOff>
        </xdr:to>
        <xdr:sp macro="" textlink="">
          <xdr:nvSpPr>
            <xdr:cNvPr id="21524" name="Object 20" hidden="1">
              <a:extLst>
                <a:ext uri="{63B3BB69-23CF-44E3-9099-C40C66FF867C}">
                  <a14:compatExt spid="_x0000_s21524"/>
                </a:ext>
                <a:ext uri="{FF2B5EF4-FFF2-40B4-BE49-F238E27FC236}">
                  <a16:creationId xmlns:a16="http://schemas.microsoft.com/office/drawing/2014/main" id="{00000000-0008-0000-0000-00001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47625</xdr:colOff>
      <xdr:row>67</xdr:row>
      <xdr:rowOff>95250</xdr:rowOff>
    </xdr:from>
    <xdr:to>
      <xdr:col>6</xdr:col>
      <xdr:colOff>790575</xdr:colOff>
      <xdr:row>77</xdr:row>
      <xdr:rowOff>9525</xdr:rowOff>
    </xdr:to>
    <xdr:pic>
      <xdr:nvPicPr>
        <xdr:cNvPr id="21687" name="Immagine 15">
          <a:extLst>
            <a:ext uri="{FF2B5EF4-FFF2-40B4-BE49-F238E27FC236}">
              <a16:creationId xmlns:a16="http://schemas.microsoft.com/office/drawing/2014/main" id="{00000000-0008-0000-0000-0000B7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620625"/>
          <a:ext cx="5495925" cy="190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1076325</xdr:colOff>
      <xdr:row>0</xdr:row>
      <xdr:rowOff>855659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829300" cy="855659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99</xdr:row>
      <xdr:rowOff>100268</xdr:rowOff>
    </xdr:from>
    <xdr:to>
      <xdr:col>6</xdr:col>
      <xdr:colOff>1104900</xdr:colOff>
      <xdr:row>104</xdr:row>
      <xdr:rowOff>147700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312193"/>
          <a:ext cx="5838825" cy="8570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18</xdr:row>
      <xdr:rowOff>114300</xdr:rowOff>
    </xdr:from>
    <xdr:to>
      <xdr:col>5</xdr:col>
      <xdr:colOff>352425</xdr:colOff>
      <xdr:row>31</xdr:row>
      <xdr:rowOff>85725</xdr:rowOff>
    </xdr:to>
    <xdr:pic>
      <xdr:nvPicPr>
        <xdr:cNvPr id="53375" name="Picture 1">
          <a:extLst>
            <a:ext uri="{FF2B5EF4-FFF2-40B4-BE49-F238E27FC236}">
              <a16:creationId xmlns:a16="http://schemas.microsoft.com/office/drawing/2014/main" id="{00000000-0008-0000-0100-00007FD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3390900"/>
          <a:ext cx="4295775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36</xdr:row>
          <xdr:rowOff>142875</xdr:rowOff>
        </xdr:from>
        <xdr:to>
          <xdr:col>1</xdr:col>
          <xdr:colOff>142875</xdr:colOff>
          <xdr:row>39</xdr:row>
          <xdr:rowOff>133350</xdr:rowOff>
        </xdr:to>
        <xdr:sp macro="" textlink="">
          <xdr:nvSpPr>
            <xdr:cNvPr id="53249" name="Object 1" hidden="1">
              <a:extLst>
                <a:ext uri="{63B3BB69-23CF-44E3-9099-C40C66FF867C}">
                  <a14:compatExt spid="_x0000_s53249"/>
                </a:ext>
                <a:ext uri="{FF2B5EF4-FFF2-40B4-BE49-F238E27FC236}">
                  <a16:creationId xmlns:a16="http://schemas.microsoft.com/office/drawing/2014/main" id="{00000000-0008-0000-0100-00000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1000125</xdr:colOff>
          <xdr:row>6</xdr:row>
          <xdr:rowOff>76200</xdr:rowOff>
        </xdr:from>
        <xdr:to>
          <xdr:col>2</xdr:col>
          <xdr:colOff>428625</xdr:colOff>
          <xdr:row>7</xdr:row>
          <xdr:rowOff>123825</xdr:rowOff>
        </xdr:to>
        <xdr:sp macro="" textlink="">
          <xdr:nvSpPr>
            <xdr:cNvPr id="53253" name="Object 5" hidden="1">
              <a:extLst>
                <a:ext uri="{63B3BB69-23CF-44E3-9099-C40C66FF867C}">
                  <a14:compatExt spid="_x0000_s53253"/>
                </a:ext>
                <a:ext uri="{FF2B5EF4-FFF2-40B4-BE49-F238E27FC236}">
                  <a16:creationId xmlns:a16="http://schemas.microsoft.com/office/drawing/2014/main" id="{00000000-0008-0000-0100-00000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85</xdr:row>
          <xdr:rowOff>66675</xdr:rowOff>
        </xdr:from>
        <xdr:to>
          <xdr:col>1</xdr:col>
          <xdr:colOff>123825</xdr:colOff>
          <xdr:row>86</xdr:row>
          <xdr:rowOff>47625</xdr:rowOff>
        </xdr:to>
        <xdr:sp macro="" textlink="">
          <xdr:nvSpPr>
            <xdr:cNvPr id="53324" name="Object 76" hidden="1">
              <a:extLst>
                <a:ext uri="{63B3BB69-23CF-44E3-9099-C40C66FF867C}">
                  <a14:compatExt spid="_x0000_s53324"/>
                </a:ext>
                <a:ext uri="{FF2B5EF4-FFF2-40B4-BE49-F238E27FC236}">
                  <a16:creationId xmlns:a16="http://schemas.microsoft.com/office/drawing/2014/main" id="{00000000-0008-0000-0100-00004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56</xdr:row>
          <xdr:rowOff>142875</xdr:rowOff>
        </xdr:from>
        <xdr:to>
          <xdr:col>1</xdr:col>
          <xdr:colOff>600075</xdr:colOff>
          <xdr:row>58</xdr:row>
          <xdr:rowOff>85725</xdr:rowOff>
        </xdr:to>
        <xdr:sp macro="" textlink="">
          <xdr:nvSpPr>
            <xdr:cNvPr id="53325" name="Object 77" hidden="1">
              <a:extLst>
                <a:ext uri="{63B3BB69-23CF-44E3-9099-C40C66FF867C}">
                  <a14:compatExt spid="_x0000_s53325"/>
                </a:ext>
                <a:ext uri="{FF2B5EF4-FFF2-40B4-BE49-F238E27FC236}">
                  <a16:creationId xmlns:a16="http://schemas.microsoft.com/office/drawing/2014/main" id="{00000000-0008-0000-0100-00004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56</xdr:row>
          <xdr:rowOff>142875</xdr:rowOff>
        </xdr:from>
        <xdr:to>
          <xdr:col>4</xdr:col>
          <xdr:colOff>228600</xdr:colOff>
          <xdr:row>58</xdr:row>
          <xdr:rowOff>85725</xdr:rowOff>
        </xdr:to>
        <xdr:sp macro="" textlink="">
          <xdr:nvSpPr>
            <xdr:cNvPr id="53326" name="Object 78" hidden="1">
              <a:extLst>
                <a:ext uri="{63B3BB69-23CF-44E3-9099-C40C66FF867C}">
                  <a14:compatExt spid="_x0000_s53326"/>
                </a:ext>
                <a:ext uri="{FF2B5EF4-FFF2-40B4-BE49-F238E27FC236}">
                  <a16:creationId xmlns:a16="http://schemas.microsoft.com/office/drawing/2014/main" id="{00000000-0008-0000-0100-00004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47625</xdr:colOff>
      <xdr:row>67</xdr:row>
      <xdr:rowOff>95250</xdr:rowOff>
    </xdr:from>
    <xdr:to>
      <xdr:col>6</xdr:col>
      <xdr:colOff>1123950</xdr:colOff>
      <xdr:row>77</xdr:row>
      <xdr:rowOff>9525</xdr:rowOff>
    </xdr:to>
    <xdr:pic>
      <xdr:nvPicPr>
        <xdr:cNvPr id="53378" name="Immagine 15">
          <a:extLst>
            <a:ext uri="{FF2B5EF4-FFF2-40B4-BE49-F238E27FC236}">
              <a16:creationId xmlns:a16="http://schemas.microsoft.com/office/drawing/2014/main" id="{00000000-0008-0000-0100-000082D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496800"/>
          <a:ext cx="5495925" cy="190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43</xdr:row>
      <xdr:rowOff>28575</xdr:rowOff>
    </xdr:from>
    <xdr:to>
      <xdr:col>1</xdr:col>
      <xdr:colOff>628650</xdr:colOff>
      <xdr:row>44</xdr:row>
      <xdr:rowOff>144534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Object 7">
              <a:extLst>
                <a:ext uri="{63B3BB69-23CF-44E3-9099-C40C66FF867C}">
                  <a14:compatExt spid="_x0000_s53255"/>
                </a:ex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85725" y="8048625"/>
              <a:ext cx="1590675" cy="315984"/>
            </a:xfrm>
            <a:prstGeom prst="rect">
              <a:avLst/>
            </a:prstGeom>
          </xdr:spPr>
          <xdr:txBody>
            <a:bodyPr vertOverflow="clip" horzOverflow="clip" wrap="squar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it-IT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r>
                          <a:rPr lang="it-IT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  <m:r>
                      <a:rPr lang="it-IT" sz="1200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it-IT" sz="1200" b="0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24 . </m:t>
                    </m:r>
                    <m:r>
                      <a:rPr lang="it-IT" sz="1200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0,18</m:t>
                    </m:r>
                    <m:rad>
                      <m:radPr>
                        <m:ctrlPr>
                          <a:rPr lang="it-IT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radPr>
                      <m:deg>
                        <m:r>
                          <a:rPr lang="it-IT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deg>
                      <m:e>
                        <m:sSub>
                          <m:sSubPr>
                            <m:ctrlPr>
                              <a:rPr lang="it-IT" sz="1200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200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it-IT" sz="1200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𝑡𝑜𝑡</m:t>
                            </m:r>
                          </m:sub>
                        </m:sSub>
                        <m:r>
                          <a:rPr lang="it-IT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</m:rad>
                  </m:oMath>
                </m:oMathPara>
              </a14:m>
              <a:endParaRPr lang="it-IT" sz="1200"/>
            </a:p>
          </xdr:txBody>
        </xdr:sp>
      </mc:Choice>
      <mc:Fallback xmlns="">
        <xdr:sp macro="" textlink="">
          <xdr:nvSpPr>
            <xdr:cNvPr id="2" name="Object 7">
              <a:extLst>
                <a:ext uri="{63B3BB69-23CF-44E3-9099-C40C66FF867C}">
                  <a14:compatExt xmlns:a14="http://schemas.microsoft.com/office/drawing/2010/main" spid="_x0000_s53255"/>
                </a:ext>
                <a:ext uri="{FF2B5EF4-FFF2-40B4-BE49-F238E27FC236}">
                  <a16:creationId xmlns:a16="http://schemas.microsoft.com/office/drawing/2014/main" id="{00000000-0008-0000-0100-000007D00000}"/>
                </a:ext>
              </a:extLst>
            </xdr:cNvPr>
            <xdr:cNvSpPr txBox="1"/>
          </xdr:nvSpPr>
          <xdr:spPr>
            <a:xfrm>
              <a:off x="85725" y="8048625"/>
              <a:ext cx="1590675" cy="315984"/>
            </a:xfrm>
            <a:prstGeom prst="rect">
              <a:avLst/>
            </a:prstGeom>
          </xdr:spPr>
          <xdr:txBody>
            <a:bodyPr vertOverflow="clip" horzOverflow="clip" wrap="square">
              <a:spAutoFit/>
            </a:bodyPr>
            <a:lstStyle/>
            <a:p>
              <a:pPr/>
              <a:r>
                <a:rPr lang="it-IT" sz="12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𝑡_𝑐=</a:t>
              </a:r>
              <a:r>
                <a:rPr lang="it-IT" sz="1200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24 . </a:t>
              </a:r>
              <a:r>
                <a:rPr lang="it-IT" sz="12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0,18∛(𝐴_𝑡𝑜𝑡 𝐿)</a:t>
              </a:r>
              <a:endParaRPr lang="it-IT" sz="1200"/>
            </a:p>
          </xdr:txBody>
        </xdr:sp>
      </mc:Fallback>
    </mc:AlternateContent>
    <xdr:clientData/>
  </xdr:twoCellAnchor>
  <xdr:twoCellAnchor editAs="oneCell">
    <xdr:from>
      <xdr:col>0</xdr:col>
      <xdr:colOff>57978</xdr:colOff>
      <xdr:row>0</xdr:row>
      <xdr:rowOff>41413</xdr:rowOff>
    </xdr:from>
    <xdr:to>
      <xdr:col>2</xdr:col>
      <xdr:colOff>213153</xdr:colOff>
      <xdr:row>0</xdr:row>
      <xdr:rowOff>704023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2792" t="4996" b="15054"/>
        <a:stretch>
          <a:fillRect/>
        </a:stretch>
      </xdr:blipFill>
      <xdr:spPr>
        <a:xfrm>
          <a:off x="57978" y="41413"/>
          <a:ext cx="2018762" cy="6626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14</xdr:row>
      <xdr:rowOff>19050</xdr:rowOff>
    </xdr:from>
    <xdr:to>
      <xdr:col>5</xdr:col>
      <xdr:colOff>238125</xdr:colOff>
      <xdr:row>18</xdr:row>
      <xdr:rowOff>19050</xdr:rowOff>
    </xdr:to>
    <xdr:sp macro="" textlink="">
      <xdr:nvSpPr>
        <xdr:cNvPr id="17740" name="Line 14">
          <a:extLst>
            <a:ext uri="{FF2B5EF4-FFF2-40B4-BE49-F238E27FC236}">
              <a16:creationId xmlns:a16="http://schemas.microsoft.com/office/drawing/2014/main" id="{00000000-0008-0000-0200-00004C450000}"/>
            </a:ext>
          </a:extLst>
        </xdr:cNvPr>
        <xdr:cNvSpPr>
          <a:spLocks noChangeShapeType="1"/>
        </xdr:cNvSpPr>
      </xdr:nvSpPr>
      <xdr:spPr bwMode="auto">
        <a:xfrm>
          <a:off x="3181350" y="2790825"/>
          <a:ext cx="0" cy="647700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 type="triangle" w="med" len="med"/>
              <a:tailEnd type="triangl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228600</xdr:colOff>
      <xdr:row>14</xdr:row>
      <xdr:rowOff>19050</xdr:rowOff>
    </xdr:from>
    <xdr:to>
      <xdr:col>5</xdr:col>
      <xdr:colOff>228600</xdr:colOff>
      <xdr:row>18</xdr:row>
      <xdr:rowOff>47625</xdr:rowOff>
    </xdr:to>
    <xdr:sp macro="" textlink="">
      <xdr:nvSpPr>
        <xdr:cNvPr id="17741" name="Line 15">
          <a:extLst>
            <a:ext uri="{FF2B5EF4-FFF2-40B4-BE49-F238E27FC236}">
              <a16:creationId xmlns:a16="http://schemas.microsoft.com/office/drawing/2014/main" id="{00000000-0008-0000-0200-00004D450000}"/>
            </a:ext>
          </a:extLst>
        </xdr:cNvPr>
        <xdr:cNvSpPr>
          <a:spLocks noChangeShapeType="1"/>
        </xdr:cNvSpPr>
      </xdr:nvSpPr>
      <xdr:spPr bwMode="auto">
        <a:xfrm>
          <a:off x="3171825" y="2790825"/>
          <a:ext cx="0" cy="67627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 type="triangle" w="med" len="med"/>
              <a:tailEnd type="triangl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171450</xdr:colOff>
      <xdr:row>14</xdr:row>
      <xdr:rowOff>9525</xdr:rowOff>
    </xdr:from>
    <xdr:to>
      <xdr:col>11</xdr:col>
      <xdr:colOff>171450</xdr:colOff>
      <xdr:row>18</xdr:row>
      <xdr:rowOff>76200</xdr:rowOff>
    </xdr:to>
    <xdr:sp macro="" textlink="">
      <xdr:nvSpPr>
        <xdr:cNvPr id="17742" name="Line 16">
          <a:extLst>
            <a:ext uri="{FF2B5EF4-FFF2-40B4-BE49-F238E27FC236}">
              <a16:creationId xmlns:a16="http://schemas.microsoft.com/office/drawing/2014/main" id="{00000000-0008-0000-0200-00004E450000}"/>
            </a:ext>
          </a:extLst>
        </xdr:cNvPr>
        <xdr:cNvSpPr>
          <a:spLocks noChangeShapeType="1"/>
        </xdr:cNvSpPr>
      </xdr:nvSpPr>
      <xdr:spPr bwMode="auto">
        <a:xfrm>
          <a:off x="6772275" y="2781300"/>
          <a:ext cx="0" cy="71437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 type="triangle" w="med" len="med"/>
              <a:tailEnd type="triangl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57150</xdr:colOff>
      <xdr:row>28</xdr:row>
      <xdr:rowOff>0</xdr:rowOff>
    </xdr:from>
    <xdr:to>
      <xdr:col>8</xdr:col>
      <xdr:colOff>161925</xdr:colOff>
      <xdr:row>29</xdr:row>
      <xdr:rowOff>142875</xdr:rowOff>
    </xdr:to>
    <xdr:sp macro="" textlink="">
      <xdr:nvSpPr>
        <xdr:cNvPr id="17743" name="AutoShape 24">
          <a:extLst>
            <a:ext uri="{FF2B5EF4-FFF2-40B4-BE49-F238E27FC236}">
              <a16:creationId xmlns:a16="http://schemas.microsoft.com/office/drawing/2014/main" id="{00000000-0008-0000-0200-00004F450000}"/>
            </a:ext>
          </a:extLst>
        </xdr:cNvPr>
        <xdr:cNvSpPr>
          <a:spLocks noChangeArrowheads="1"/>
        </xdr:cNvSpPr>
      </xdr:nvSpPr>
      <xdr:spPr bwMode="auto">
        <a:xfrm>
          <a:off x="4286250" y="5334000"/>
          <a:ext cx="438150" cy="304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57150</xdr:colOff>
      <xdr:row>29</xdr:row>
      <xdr:rowOff>38100</xdr:rowOff>
    </xdr:from>
    <xdr:to>
      <xdr:col>2</xdr:col>
      <xdr:colOff>228600</xdr:colOff>
      <xdr:row>29</xdr:row>
      <xdr:rowOff>142875</xdr:rowOff>
    </xdr:to>
    <xdr:sp macro="" textlink="">
      <xdr:nvSpPr>
        <xdr:cNvPr id="17744" name="AutoShape 25">
          <a:extLst>
            <a:ext uri="{FF2B5EF4-FFF2-40B4-BE49-F238E27FC236}">
              <a16:creationId xmlns:a16="http://schemas.microsoft.com/office/drawing/2014/main" id="{00000000-0008-0000-0200-000050450000}"/>
            </a:ext>
          </a:extLst>
        </xdr:cNvPr>
        <xdr:cNvSpPr>
          <a:spLocks noChangeArrowheads="1"/>
        </xdr:cNvSpPr>
      </xdr:nvSpPr>
      <xdr:spPr bwMode="auto">
        <a:xfrm>
          <a:off x="1114425" y="5238750"/>
          <a:ext cx="171450" cy="104775"/>
        </a:xfrm>
        <a:prstGeom prst="rightArrow">
          <a:avLst>
            <a:gd name="adj1" fmla="val 50000"/>
            <a:gd name="adj2" fmla="val 40909"/>
          </a:avLst>
        </a:prstGeom>
        <a:solidFill>
          <a:srgbClr val="FFFFFF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10</xdr:row>
          <xdr:rowOff>19050</xdr:rowOff>
        </xdr:from>
        <xdr:to>
          <xdr:col>1</xdr:col>
          <xdr:colOff>400050</xdr:colOff>
          <xdr:row>14</xdr:row>
          <xdr:rowOff>123825</xdr:rowOff>
        </xdr:to>
        <xdr:sp macro="" textlink="">
          <xdr:nvSpPr>
            <xdr:cNvPr id="17434" name="Immagine 1" hidden="1">
              <a:extLst>
                <a:ext uri="{63B3BB69-23CF-44E3-9099-C40C66FF867C}">
                  <a14:compatExt spid="_x0000_s17434"/>
                </a:ext>
                <a:ext uri="{FF2B5EF4-FFF2-40B4-BE49-F238E27FC236}">
                  <a16:creationId xmlns:a16="http://schemas.microsoft.com/office/drawing/2014/main" id="{00000000-0008-0000-0200-00001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34</xdr:row>
          <xdr:rowOff>152400</xdr:rowOff>
        </xdr:from>
        <xdr:to>
          <xdr:col>9</xdr:col>
          <xdr:colOff>66675</xdr:colOff>
          <xdr:row>36</xdr:row>
          <xdr:rowOff>114300</xdr:rowOff>
        </xdr:to>
        <xdr:sp macro="" textlink="">
          <xdr:nvSpPr>
            <xdr:cNvPr id="17439" name="Drop Down 31" hidden="1">
              <a:extLst>
                <a:ext uri="{63B3BB69-23CF-44E3-9099-C40C66FF867C}">
                  <a14:compatExt spid="_x0000_s17439"/>
                </a:ext>
                <a:ext uri="{FF2B5EF4-FFF2-40B4-BE49-F238E27FC236}">
                  <a16:creationId xmlns:a16="http://schemas.microsoft.com/office/drawing/2014/main" id="{00000000-0008-0000-0200-00001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400050</xdr:colOff>
      <xdr:row>8</xdr:row>
      <xdr:rowOff>47625</xdr:rowOff>
    </xdr:from>
    <xdr:to>
      <xdr:col>9</xdr:col>
      <xdr:colOff>257175</xdr:colOff>
      <xdr:row>21</xdr:row>
      <xdr:rowOff>57150</xdr:rowOff>
    </xdr:to>
    <xdr:pic>
      <xdr:nvPicPr>
        <xdr:cNvPr id="17745" name="Picture 32">
          <a:extLst>
            <a:ext uri="{FF2B5EF4-FFF2-40B4-BE49-F238E27FC236}">
              <a16:creationId xmlns:a16="http://schemas.microsoft.com/office/drawing/2014/main" id="{00000000-0008-0000-0200-0000514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847850"/>
          <a:ext cx="3057525" cy="2114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43</xdr:row>
          <xdr:rowOff>19050</xdr:rowOff>
        </xdr:from>
        <xdr:to>
          <xdr:col>2</xdr:col>
          <xdr:colOff>323850</xdr:colOff>
          <xdr:row>44</xdr:row>
          <xdr:rowOff>38100</xdr:rowOff>
        </xdr:to>
        <xdr:sp macro="" textlink="">
          <xdr:nvSpPr>
            <xdr:cNvPr id="17442" name="Check Box 34" hidden="1">
              <a:extLst>
                <a:ext uri="{63B3BB69-23CF-44E3-9099-C40C66FF867C}">
                  <a14:compatExt spid="_x0000_s17442"/>
                </a:ext>
                <a:ext uri="{FF2B5EF4-FFF2-40B4-BE49-F238E27FC236}">
                  <a16:creationId xmlns:a16="http://schemas.microsoft.com/office/drawing/2014/main" id="{00000000-0008-0000-0200-00002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it-IT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Atot &gt; 1 kmq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619125</xdr:colOff>
      <xdr:row>45</xdr:row>
      <xdr:rowOff>38100</xdr:rowOff>
    </xdr:from>
    <xdr:to>
      <xdr:col>3</xdr:col>
      <xdr:colOff>552450</xdr:colOff>
      <xdr:row>45</xdr:row>
      <xdr:rowOff>142875</xdr:rowOff>
    </xdr:to>
    <xdr:sp macro="" textlink="">
      <xdr:nvSpPr>
        <xdr:cNvPr id="17746" name="AutoShape 36">
          <a:extLst>
            <a:ext uri="{FF2B5EF4-FFF2-40B4-BE49-F238E27FC236}">
              <a16:creationId xmlns:a16="http://schemas.microsoft.com/office/drawing/2014/main" id="{00000000-0008-0000-0200-000052450000}"/>
            </a:ext>
          </a:extLst>
        </xdr:cNvPr>
        <xdr:cNvSpPr>
          <a:spLocks noChangeArrowheads="1"/>
        </xdr:cNvSpPr>
      </xdr:nvSpPr>
      <xdr:spPr bwMode="auto">
        <a:xfrm>
          <a:off x="1676400" y="8077200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1</xdr:rowOff>
    </xdr:from>
    <xdr:to>
      <xdr:col>9</xdr:col>
      <xdr:colOff>247650</xdr:colOff>
      <xdr:row>1</xdr:row>
      <xdr:rowOff>12306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5210175" cy="7647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49</xdr:row>
      <xdr:rowOff>9525</xdr:rowOff>
    </xdr:from>
    <xdr:to>
      <xdr:col>9</xdr:col>
      <xdr:colOff>237511</xdr:colOff>
      <xdr:row>53</xdr:row>
      <xdr:rowOff>125118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182100"/>
          <a:ext cx="5200036" cy="763293"/>
        </a:xfrm>
        <a:prstGeom prst="rect">
          <a:avLst/>
        </a:prstGeom>
      </xdr:spPr>
    </xdr:pic>
    <xdr:clientData/>
  </xdr:twoCellAnchor>
  <xdr:twoCellAnchor>
    <xdr:from>
      <xdr:col>2</xdr:col>
      <xdr:colOff>619125</xdr:colOff>
      <xdr:row>46</xdr:row>
      <xdr:rowOff>38100</xdr:rowOff>
    </xdr:from>
    <xdr:to>
      <xdr:col>3</xdr:col>
      <xdr:colOff>552450</xdr:colOff>
      <xdr:row>46</xdr:row>
      <xdr:rowOff>142875</xdr:rowOff>
    </xdr:to>
    <xdr:sp macro="" textlink="">
      <xdr:nvSpPr>
        <xdr:cNvPr id="2" name="AutoShape 36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1676400" y="837247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619125</xdr:colOff>
      <xdr:row>47</xdr:row>
      <xdr:rowOff>38100</xdr:rowOff>
    </xdr:from>
    <xdr:to>
      <xdr:col>3</xdr:col>
      <xdr:colOff>552450</xdr:colOff>
      <xdr:row>47</xdr:row>
      <xdr:rowOff>142875</xdr:rowOff>
    </xdr:to>
    <xdr:sp macro="" textlink="">
      <xdr:nvSpPr>
        <xdr:cNvPr id="5" name="AutoShape 3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1676400" y="837247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619125</xdr:colOff>
      <xdr:row>48</xdr:row>
      <xdr:rowOff>38100</xdr:rowOff>
    </xdr:from>
    <xdr:to>
      <xdr:col>3</xdr:col>
      <xdr:colOff>552450</xdr:colOff>
      <xdr:row>48</xdr:row>
      <xdr:rowOff>142875</xdr:rowOff>
    </xdr:to>
    <xdr:sp macro="" textlink="">
      <xdr:nvSpPr>
        <xdr:cNvPr id="6" name="AutoShape 36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1676400" y="837247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16</xdr:row>
          <xdr:rowOff>0</xdr:rowOff>
        </xdr:from>
        <xdr:to>
          <xdr:col>7</xdr:col>
          <xdr:colOff>800100</xdr:colOff>
          <xdr:row>17</xdr:row>
          <xdr:rowOff>95250</xdr:rowOff>
        </xdr:to>
        <xdr:sp macro="" textlink="">
          <xdr:nvSpPr>
            <xdr:cNvPr id="44034" name="Drop Down 2" hidden="1">
              <a:extLst>
                <a:ext uri="{63B3BB69-23CF-44E3-9099-C40C66FF867C}">
                  <a14:compatExt spid="_x0000_s44034"/>
                </a:ext>
                <a:ext uri="{FF2B5EF4-FFF2-40B4-BE49-F238E27FC236}">
                  <a16:creationId xmlns:a16="http://schemas.microsoft.com/office/drawing/2014/main" id="{00000000-0008-0000-0300-000002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8</xdr:row>
          <xdr:rowOff>47625</xdr:rowOff>
        </xdr:from>
        <xdr:to>
          <xdr:col>1</xdr:col>
          <xdr:colOff>190500</xdr:colOff>
          <xdr:row>12</xdr:row>
          <xdr:rowOff>85725</xdr:rowOff>
        </xdr:to>
        <xdr:sp macro="" textlink="">
          <xdr:nvSpPr>
            <xdr:cNvPr id="44035" name="Immagine 1" hidden="1">
              <a:extLst>
                <a:ext uri="{63B3BB69-23CF-44E3-9099-C40C66FF867C}">
                  <a14:compatExt spid="_x0000_s44035"/>
                </a:ext>
                <a:ext uri="{FF2B5EF4-FFF2-40B4-BE49-F238E27FC236}">
                  <a16:creationId xmlns:a16="http://schemas.microsoft.com/office/drawing/2014/main" id="{00000000-0008-0000-0300-000003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62</xdr:row>
          <xdr:rowOff>19050</xdr:rowOff>
        </xdr:from>
        <xdr:to>
          <xdr:col>2</xdr:col>
          <xdr:colOff>95250</xdr:colOff>
          <xdr:row>63</xdr:row>
          <xdr:rowOff>9525</xdr:rowOff>
        </xdr:to>
        <xdr:sp macro="" textlink="">
          <xdr:nvSpPr>
            <xdr:cNvPr id="44040" name="Check Box 8" hidden="1">
              <a:extLst>
                <a:ext uri="{63B3BB69-23CF-44E3-9099-C40C66FF867C}">
                  <a14:compatExt spid="_x0000_s44040"/>
                </a:ext>
                <a:ext uri="{FF2B5EF4-FFF2-40B4-BE49-F238E27FC236}">
                  <a16:creationId xmlns:a16="http://schemas.microsoft.com/office/drawing/2014/main" id="{00000000-0008-0000-0300-000008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it-IT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Atot &gt; 1 kmq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8</xdr:col>
      <xdr:colOff>95250</xdr:colOff>
      <xdr:row>1</xdr:row>
      <xdr:rowOff>73911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5305425" cy="778761"/>
        </a:xfrm>
        <a:prstGeom prst="rect">
          <a:avLst/>
        </a:prstGeom>
      </xdr:spPr>
    </xdr:pic>
    <xdr:clientData/>
  </xdr:twoCellAnchor>
  <xdr:twoCellAnchor editAs="oneCell">
    <xdr:from>
      <xdr:col>0</xdr:col>
      <xdr:colOff>257175</xdr:colOff>
      <xdr:row>69</xdr:row>
      <xdr:rowOff>6378</xdr:rowOff>
    </xdr:from>
    <xdr:to>
      <xdr:col>7</xdr:col>
      <xdr:colOff>885825</xdr:colOff>
      <xdr:row>72</xdr:row>
      <xdr:rowOff>168900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11388753"/>
          <a:ext cx="5000625" cy="734022"/>
        </a:xfrm>
        <a:prstGeom prst="rect">
          <a:avLst/>
        </a:prstGeom>
      </xdr:spPr>
    </xdr:pic>
    <xdr:clientData/>
  </xdr:twoCellAnchor>
  <xdr:twoCellAnchor>
    <xdr:from>
      <xdr:col>2</xdr:col>
      <xdr:colOff>581025</xdr:colOff>
      <xdr:row>65</xdr:row>
      <xdr:rowOff>76200</xdr:rowOff>
    </xdr:from>
    <xdr:to>
      <xdr:col>3</xdr:col>
      <xdr:colOff>542925</xdr:colOff>
      <xdr:row>65</xdr:row>
      <xdr:rowOff>180975</xdr:rowOff>
    </xdr:to>
    <xdr:sp macro="" textlink="">
      <xdr:nvSpPr>
        <xdr:cNvPr id="5" name="AutoShape 3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1905000" y="1063942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581025</xdr:colOff>
      <xdr:row>66</xdr:row>
      <xdr:rowOff>76200</xdr:rowOff>
    </xdr:from>
    <xdr:to>
      <xdr:col>3</xdr:col>
      <xdr:colOff>542925</xdr:colOff>
      <xdr:row>66</xdr:row>
      <xdr:rowOff>180975</xdr:rowOff>
    </xdr:to>
    <xdr:sp macro="" textlink="">
      <xdr:nvSpPr>
        <xdr:cNvPr id="6" name="AutoShape 3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Arrowheads="1"/>
        </xdr:cNvSpPr>
      </xdr:nvSpPr>
      <xdr:spPr bwMode="auto">
        <a:xfrm>
          <a:off x="1905000" y="1063942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581025</xdr:colOff>
      <xdr:row>67</xdr:row>
      <xdr:rowOff>76200</xdr:rowOff>
    </xdr:from>
    <xdr:to>
      <xdr:col>3</xdr:col>
      <xdr:colOff>542925</xdr:colOff>
      <xdr:row>67</xdr:row>
      <xdr:rowOff>180975</xdr:rowOff>
    </xdr:to>
    <xdr:sp macro="" textlink="">
      <xdr:nvSpPr>
        <xdr:cNvPr id="7" name="AutoShape 3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Arrowheads="1"/>
        </xdr:cNvSpPr>
      </xdr:nvSpPr>
      <xdr:spPr bwMode="auto">
        <a:xfrm>
          <a:off x="1905000" y="1063942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581025</xdr:colOff>
      <xdr:row>68</xdr:row>
      <xdr:rowOff>76200</xdr:rowOff>
    </xdr:from>
    <xdr:to>
      <xdr:col>3</xdr:col>
      <xdr:colOff>542925</xdr:colOff>
      <xdr:row>68</xdr:row>
      <xdr:rowOff>180975</xdr:rowOff>
    </xdr:to>
    <xdr:sp macro="" textlink="">
      <xdr:nvSpPr>
        <xdr:cNvPr id="8" name="AutoShape 36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Arrowheads="1"/>
        </xdr:cNvSpPr>
      </xdr:nvSpPr>
      <xdr:spPr bwMode="auto">
        <a:xfrm>
          <a:off x="1905000" y="1063942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14</xdr:row>
          <xdr:rowOff>0</xdr:rowOff>
        </xdr:from>
        <xdr:to>
          <xdr:col>7</xdr:col>
          <xdr:colOff>476250</xdr:colOff>
          <xdr:row>15</xdr:row>
          <xdr:rowOff>95250</xdr:rowOff>
        </xdr:to>
        <xdr:sp macro="" textlink="">
          <xdr:nvSpPr>
            <xdr:cNvPr id="55297" name="Drop Down 1" hidden="1">
              <a:extLst>
                <a:ext uri="{63B3BB69-23CF-44E3-9099-C40C66FF867C}">
                  <a14:compatExt spid="_x0000_s55297"/>
                </a:ext>
                <a:ext uri="{FF2B5EF4-FFF2-40B4-BE49-F238E27FC236}">
                  <a16:creationId xmlns:a16="http://schemas.microsoft.com/office/drawing/2014/main" id="{00000000-0008-0000-0400-00000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7</xdr:row>
          <xdr:rowOff>47625</xdr:rowOff>
        </xdr:from>
        <xdr:to>
          <xdr:col>0</xdr:col>
          <xdr:colOff>800100</xdr:colOff>
          <xdr:row>10</xdr:row>
          <xdr:rowOff>123825</xdr:rowOff>
        </xdr:to>
        <xdr:sp macro="" textlink="">
          <xdr:nvSpPr>
            <xdr:cNvPr id="55298" name="Immagine 1" hidden="1">
              <a:extLst>
                <a:ext uri="{63B3BB69-23CF-44E3-9099-C40C66FF867C}">
                  <a14:compatExt spid="_x0000_s55298"/>
                </a:ext>
                <a:ext uri="{FF2B5EF4-FFF2-40B4-BE49-F238E27FC236}">
                  <a16:creationId xmlns:a16="http://schemas.microsoft.com/office/drawing/2014/main" id="{00000000-0008-0000-0400-00000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41</xdr:row>
          <xdr:rowOff>19050</xdr:rowOff>
        </xdr:from>
        <xdr:to>
          <xdr:col>1</xdr:col>
          <xdr:colOff>504825</xdr:colOff>
          <xdr:row>42</xdr:row>
          <xdr:rowOff>9525</xdr:rowOff>
        </xdr:to>
        <xdr:sp macro="" textlink="">
          <xdr:nvSpPr>
            <xdr:cNvPr id="55301" name="Check Box 5" hidden="1">
              <a:extLst>
                <a:ext uri="{63B3BB69-23CF-44E3-9099-C40C66FF867C}">
                  <a14:compatExt spid="_x0000_s55301"/>
                </a:ext>
                <a:ext uri="{FF2B5EF4-FFF2-40B4-BE49-F238E27FC236}">
                  <a16:creationId xmlns:a16="http://schemas.microsoft.com/office/drawing/2014/main" id="{00000000-0008-0000-0400-00000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it-IT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Atot &gt; 1 kmq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8</xdr:col>
      <xdr:colOff>200025</xdr:colOff>
      <xdr:row>1</xdr:row>
      <xdr:rowOff>12477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600700" cy="822102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48</xdr:row>
      <xdr:rowOff>123825</xdr:rowOff>
    </xdr:from>
    <xdr:to>
      <xdr:col>8</xdr:col>
      <xdr:colOff>217999</xdr:colOff>
      <xdr:row>53</xdr:row>
      <xdr:rowOff>133350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9991725"/>
          <a:ext cx="5580574" cy="819150"/>
        </a:xfrm>
        <a:prstGeom prst="rect">
          <a:avLst/>
        </a:prstGeom>
      </xdr:spPr>
    </xdr:pic>
    <xdr:clientData/>
  </xdr:twoCellAnchor>
  <xdr:twoCellAnchor>
    <xdr:from>
      <xdr:col>2</xdr:col>
      <xdr:colOff>552450</xdr:colOff>
      <xdr:row>44</xdr:row>
      <xdr:rowOff>66675</xdr:rowOff>
    </xdr:from>
    <xdr:to>
      <xdr:col>3</xdr:col>
      <xdr:colOff>514350</xdr:colOff>
      <xdr:row>44</xdr:row>
      <xdr:rowOff>171450</xdr:rowOff>
    </xdr:to>
    <xdr:sp macro="" textlink="">
      <xdr:nvSpPr>
        <xdr:cNvPr id="2" name="AutoShape 36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2181225" y="909637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552450</xdr:colOff>
      <xdr:row>45</xdr:row>
      <xdr:rowOff>66675</xdr:rowOff>
    </xdr:from>
    <xdr:to>
      <xdr:col>3</xdr:col>
      <xdr:colOff>514350</xdr:colOff>
      <xdr:row>45</xdr:row>
      <xdr:rowOff>171450</xdr:rowOff>
    </xdr:to>
    <xdr:sp macro="" textlink="">
      <xdr:nvSpPr>
        <xdr:cNvPr id="6" name="AutoShape 3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rrowheads="1"/>
        </xdr:cNvSpPr>
      </xdr:nvSpPr>
      <xdr:spPr bwMode="auto">
        <a:xfrm>
          <a:off x="2181225" y="909637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552450</xdr:colOff>
      <xdr:row>46</xdr:row>
      <xdr:rowOff>66675</xdr:rowOff>
    </xdr:from>
    <xdr:to>
      <xdr:col>3</xdr:col>
      <xdr:colOff>514350</xdr:colOff>
      <xdr:row>46</xdr:row>
      <xdr:rowOff>171450</xdr:rowOff>
    </xdr:to>
    <xdr:sp macro="" textlink="">
      <xdr:nvSpPr>
        <xdr:cNvPr id="7" name="AutoShape 3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rrowheads="1"/>
        </xdr:cNvSpPr>
      </xdr:nvSpPr>
      <xdr:spPr bwMode="auto">
        <a:xfrm>
          <a:off x="2181225" y="909637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552450</xdr:colOff>
      <xdr:row>47</xdr:row>
      <xdr:rowOff>66675</xdr:rowOff>
    </xdr:from>
    <xdr:to>
      <xdr:col>3</xdr:col>
      <xdr:colOff>514350</xdr:colOff>
      <xdr:row>47</xdr:row>
      <xdr:rowOff>171450</xdr:rowOff>
    </xdr:to>
    <xdr:sp macro="" textlink="">
      <xdr:nvSpPr>
        <xdr:cNvPr id="8" name="AutoShape 36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rrowheads="1"/>
        </xdr:cNvSpPr>
      </xdr:nvSpPr>
      <xdr:spPr bwMode="auto">
        <a:xfrm>
          <a:off x="2181225" y="9096375"/>
          <a:ext cx="571500" cy="104775"/>
        </a:xfrm>
        <a:prstGeom prst="rightArrow">
          <a:avLst>
            <a:gd name="adj1" fmla="val 50000"/>
            <a:gd name="adj2" fmla="val 13636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80</xdr:row>
      <xdr:rowOff>85725</xdr:rowOff>
    </xdr:from>
    <xdr:to>
      <xdr:col>13</xdr:col>
      <xdr:colOff>19050</xdr:colOff>
      <xdr:row>88</xdr:row>
      <xdr:rowOff>19050</xdr:rowOff>
    </xdr:to>
    <xdr:sp macro="" textlink="">
      <xdr:nvSpPr>
        <xdr:cNvPr id="56346" name="Oval 8">
          <a:extLst>
            <a:ext uri="{FF2B5EF4-FFF2-40B4-BE49-F238E27FC236}">
              <a16:creationId xmlns:a16="http://schemas.microsoft.com/office/drawing/2014/main" id="{00000000-0008-0000-0500-00001ADC0000}"/>
            </a:ext>
          </a:extLst>
        </xdr:cNvPr>
        <xdr:cNvSpPr>
          <a:spLocks noChangeArrowheads="1"/>
        </xdr:cNvSpPr>
      </xdr:nvSpPr>
      <xdr:spPr bwMode="auto">
        <a:xfrm>
          <a:off x="6991350" y="13144500"/>
          <a:ext cx="1323975" cy="1228725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11</xdr:col>
      <xdr:colOff>9525</xdr:colOff>
      <xdr:row>82</xdr:row>
      <xdr:rowOff>19050</xdr:rowOff>
    </xdr:from>
    <xdr:to>
      <xdr:col>13</xdr:col>
      <xdr:colOff>19050</xdr:colOff>
      <xdr:row>88</xdr:row>
      <xdr:rowOff>9525</xdr:rowOff>
    </xdr:to>
    <xdr:sp macro="" textlink="">
      <xdr:nvSpPr>
        <xdr:cNvPr id="56347" name="Freeform 9">
          <a:extLst>
            <a:ext uri="{FF2B5EF4-FFF2-40B4-BE49-F238E27FC236}">
              <a16:creationId xmlns:a16="http://schemas.microsoft.com/office/drawing/2014/main" id="{00000000-0008-0000-0500-00001BDC0000}"/>
            </a:ext>
          </a:extLst>
        </xdr:cNvPr>
        <xdr:cNvSpPr>
          <a:spLocks/>
        </xdr:cNvSpPr>
      </xdr:nvSpPr>
      <xdr:spPr bwMode="auto">
        <a:xfrm>
          <a:off x="6991350" y="13401675"/>
          <a:ext cx="1323975" cy="962025"/>
        </a:xfrm>
        <a:custGeom>
          <a:avLst/>
          <a:gdLst>
            <a:gd name="T0" fmla="*/ 2147483646 w 129"/>
            <a:gd name="T1" fmla="*/ 2147483646 h 101"/>
            <a:gd name="T2" fmla="*/ 2147483646 w 129"/>
            <a:gd name="T3" fmla="*/ 2147483646 h 101"/>
            <a:gd name="T4" fmla="*/ 2147483646 w 129"/>
            <a:gd name="T5" fmla="*/ 2147483646 h 101"/>
            <a:gd name="T6" fmla="*/ 2147483646 w 129"/>
            <a:gd name="T7" fmla="*/ 2147483646 h 101"/>
            <a:gd name="T8" fmla="*/ 2147483646 w 129"/>
            <a:gd name="T9" fmla="*/ 2147483646 h 101"/>
            <a:gd name="T10" fmla="*/ 2147483646 w 129"/>
            <a:gd name="T11" fmla="*/ 2147483646 h 101"/>
            <a:gd name="T12" fmla="*/ 2147483646 w 129"/>
            <a:gd name="T13" fmla="*/ 2147483646 h 101"/>
            <a:gd name="T14" fmla="*/ 2147483646 w 129"/>
            <a:gd name="T15" fmla="*/ 2147483646 h 101"/>
            <a:gd name="T16" fmla="*/ 2147483646 w 129"/>
            <a:gd name="T17" fmla="*/ 2147483646 h 101"/>
            <a:gd name="T18" fmla="*/ 2147483646 w 129"/>
            <a:gd name="T19" fmla="*/ 2147483646 h 101"/>
            <a:gd name="T20" fmla="*/ 2147483646 w 129"/>
            <a:gd name="T21" fmla="*/ 2147483646 h 101"/>
            <a:gd name="T22" fmla="*/ 2147483646 w 129"/>
            <a:gd name="T23" fmla="*/ 2147483646 h 101"/>
            <a:gd name="T24" fmla="*/ 2147483646 w 129"/>
            <a:gd name="T25" fmla="*/ 2147483646 h 101"/>
            <a:gd name="T26" fmla="*/ 2147483646 w 129"/>
            <a:gd name="T27" fmla="*/ 2147483646 h 101"/>
            <a:gd name="T28" fmla="*/ 2147483646 w 129"/>
            <a:gd name="T29" fmla="*/ 2147483646 h 101"/>
            <a:gd name="T30" fmla="*/ 2147483646 w 129"/>
            <a:gd name="T31" fmla="*/ 2147483646 h 101"/>
            <a:gd name="T32" fmla="*/ 2147483646 w 129"/>
            <a:gd name="T33" fmla="*/ 2147483646 h 101"/>
            <a:gd name="T34" fmla="*/ 2147483646 w 129"/>
            <a:gd name="T35" fmla="*/ 2147483646 h 101"/>
            <a:gd name="T36" fmla="*/ 2147483646 w 129"/>
            <a:gd name="T37" fmla="*/ 2147483646 h 101"/>
            <a:gd name="T38" fmla="*/ 2147483646 w 129"/>
            <a:gd name="T39" fmla="*/ 2147483646 h 101"/>
            <a:gd name="T40" fmla="*/ 2147483646 w 129"/>
            <a:gd name="T41" fmla="*/ 2147483646 h 101"/>
            <a:gd name="T42" fmla="*/ 2147483646 w 129"/>
            <a:gd name="T43" fmla="*/ 2147483646 h 101"/>
            <a:gd name="T44" fmla="*/ 2147483646 w 129"/>
            <a:gd name="T45" fmla="*/ 2147483646 h 101"/>
            <a:gd name="T46" fmla="*/ 2147483646 w 129"/>
            <a:gd name="T47" fmla="*/ 2147483646 h 101"/>
            <a:gd name="T48" fmla="*/ 2147483646 w 129"/>
            <a:gd name="T49" fmla="*/ 2147483646 h 101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</a:gdLst>
          <a:ahLst/>
          <a:cxnLst>
            <a:cxn ang="T50">
              <a:pos x="T0" y="T1"/>
            </a:cxn>
            <a:cxn ang="T51">
              <a:pos x="T2" y="T3"/>
            </a:cxn>
            <a:cxn ang="T52">
              <a:pos x="T4" y="T5"/>
            </a:cxn>
            <a:cxn ang="T53">
              <a:pos x="T6" y="T7"/>
            </a:cxn>
            <a:cxn ang="T54">
              <a:pos x="T8" y="T9"/>
            </a:cxn>
            <a:cxn ang="T55">
              <a:pos x="T10" y="T11"/>
            </a:cxn>
            <a:cxn ang="T56">
              <a:pos x="T12" y="T13"/>
            </a:cxn>
            <a:cxn ang="T57">
              <a:pos x="T14" y="T15"/>
            </a:cxn>
            <a:cxn ang="T58">
              <a:pos x="T16" y="T17"/>
            </a:cxn>
            <a:cxn ang="T59">
              <a:pos x="T18" y="T19"/>
            </a:cxn>
            <a:cxn ang="T60">
              <a:pos x="T20" y="T21"/>
            </a:cxn>
            <a:cxn ang="T61">
              <a:pos x="T22" y="T23"/>
            </a:cxn>
            <a:cxn ang="T62">
              <a:pos x="T24" y="T25"/>
            </a:cxn>
            <a:cxn ang="T63">
              <a:pos x="T26" y="T27"/>
            </a:cxn>
            <a:cxn ang="T64">
              <a:pos x="T28" y="T29"/>
            </a:cxn>
            <a:cxn ang="T65">
              <a:pos x="T30" y="T31"/>
            </a:cxn>
            <a:cxn ang="T66">
              <a:pos x="T32" y="T33"/>
            </a:cxn>
            <a:cxn ang="T67">
              <a:pos x="T34" y="T35"/>
            </a:cxn>
            <a:cxn ang="T68">
              <a:pos x="T36" y="T37"/>
            </a:cxn>
            <a:cxn ang="T69">
              <a:pos x="T38" y="T39"/>
            </a:cxn>
            <a:cxn ang="T70">
              <a:pos x="T40" y="T41"/>
            </a:cxn>
            <a:cxn ang="T71">
              <a:pos x="T42" y="T43"/>
            </a:cxn>
            <a:cxn ang="T72">
              <a:pos x="T44" y="T45"/>
            </a:cxn>
            <a:cxn ang="T73">
              <a:pos x="T46" y="T47"/>
            </a:cxn>
            <a:cxn ang="T74">
              <a:pos x="T48" y="T49"/>
            </a:cxn>
          </a:cxnLst>
          <a:rect l="0" t="0" r="r" b="b"/>
          <a:pathLst>
            <a:path w="129" h="101">
              <a:moveTo>
                <a:pt x="11" y="3"/>
              </a:moveTo>
              <a:cubicBezTo>
                <a:pt x="21" y="4"/>
                <a:pt x="7" y="5"/>
                <a:pt x="17" y="4"/>
              </a:cubicBezTo>
              <a:cubicBezTo>
                <a:pt x="29" y="0"/>
                <a:pt x="63" y="1"/>
                <a:pt x="75" y="3"/>
              </a:cubicBezTo>
              <a:cubicBezTo>
                <a:pt x="78" y="2"/>
                <a:pt x="83" y="2"/>
                <a:pt x="83" y="2"/>
              </a:cubicBezTo>
              <a:cubicBezTo>
                <a:pt x="92" y="3"/>
                <a:pt x="100" y="3"/>
                <a:pt x="109" y="2"/>
              </a:cubicBezTo>
              <a:cubicBezTo>
                <a:pt x="112" y="0"/>
                <a:pt x="115" y="2"/>
                <a:pt x="118" y="4"/>
              </a:cubicBezTo>
              <a:cubicBezTo>
                <a:pt x="119" y="7"/>
                <a:pt x="122" y="10"/>
                <a:pt x="123" y="13"/>
              </a:cubicBezTo>
              <a:cubicBezTo>
                <a:pt x="127" y="14"/>
                <a:pt x="124" y="15"/>
                <a:pt x="124" y="15"/>
              </a:cubicBezTo>
              <a:cubicBezTo>
                <a:pt x="125" y="21"/>
                <a:pt x="128" y="26"/>
                <a:pt x="129" y="32"/>
              </a:cubicBezTo>
              <a:cubicBezTo>
                <a:pt x="129" y="39"/>
                <a:pt x="127" y="46"/>
                <a:pt x="126" y="53"/>
              </a:cubicBezTo>
              <a:cubicBezTo>
                <a:pt x="126" y="55"/>
                <a:pt x="123" y="60"/>
                <a:pt x="123" y="60"/>
              </a:cubicBezTo>
              <a:cubicBezTo>
                <a:pt x="122" y="65"/>
                <a:pt x="121" y="71"/>
                <a:pt x="116" y="74"/>
              </a:cubicBezTo>
              <a:cubicBezTo>
                <a:pt x="114" y="78"/>
                <a:pt x="110" y="82"/>
                <a:pt x="106" y="84"/>
              </a:cubicBezTo>
              <a:cubicBezTo>
                <a:pt x="104" y="89"/>
                <a:pt x="103" y="87"/>
                <a:pt x="100" y="89"/>
              </a:cubicBezTo>
              <a:cubicBezTo>
                <a:pt x="96" y="97"/>
                <a:pt x="86" y="97"/>
                <a:pt x="79" y="98"/>
              </a:cubicBezTo>
              <a:cubicBezTo>
                <a:pt x="73" y="101"/>
                <a:pt x="73" y="100"/>
                <a:pt x="66" y="101"/>
              </a:cubicBezTo>
              <a:cubicBezTo>
                <a:pt x="45" y="100"/>
                <a:pt x="29" y="93"/>
                <a:pt x="14" y="78"/>
              </a:cubicBezTo>
              <a:cubicBezTo>
                <a:pt x="11" y="75"/>
                <a:pt x="10" y="69"/>
                <a:pt x="6" y="65"/>
              </a:cubicBezTo>
              <a:cubicBezTo>
                <a:pt x="5" y="61"/>
                <a:pt x="4" y="58"/>
                <a:pt x="2" y="54"/>
              </a:cubicBezTo>
              <a:cubicBezTo>
                <a:pt x="1" y="52"/>
                <a:pt x="1" y="46"/>
                <a:pt x="1" y="46"/>
              </a:cubicBezTo>
              <a:cubicBezTo>
                <a:pt x="1" y="40"/>
                <a:pt x="0" y="35"/>
                <a:pt x="1" y="29"/>
              </a:cubicBezTo>
              <a:cubicBezTo>
                <a:pt x="1" y="26"/>
                <a:pt x="2" y="21"/>
                <a:pt x="2" y="21"/>
              </a:cubicBezTo>
              <a:cubicBezTo>
                <a:pt x="2" y="18"/>
                <a:pt x="6" y="13"/>
                <a:pt x="7" y="10"/>
              </a:cubicBezTo>
              <a:cubicBezTo>
                <a:pt x="7" y="8"/>
                <a:pt x="10" y="5"/>
                <a:pt x="12" y="6"/>
              </a:cubicBezTo>
              <a:cubicBezTo>
                <a:pt x="11" y="4"/>
                <a:pt x="11" y="5"/>
                <a:pt x="20" y="12"/>
              </a:cubicBezTo>
            </a:path>
          </a:pathLst>
        </a:custGeom>
        <a:gradFill rotWithShape="0">
          <a:gsLst>
            <a:gs pos="0">
              <a:srgbClr val="FFEBFA"/>
            </a:gs>
            <a:gs pos="30000">
              <a:srgbClr val="C4D6EB"/>
            </a:gs>
            <a:gs pos="60001">
              <a:srgbClr val="85C2FF"/>
            </a:gs>
            <a:gs pos="100000">
              <a:srgbClr val="5E9EFF"/>
            </a:gs>
          </a:gsLst>
          <a:lin ang="5400000" scaled="1"/>
        </a:gradFill>
        <a:ln>
          <a:noFill/>
        </a:ln>
        <a:extLst>
          <a:ext uri="{91240B29-F687-4F45-9708-019B960494DF}">
            <a14:hiddenLine xmlns:a14="http://schemas.microsoft.com/office/drawing/2010/main" w="9525" cap="flat" cmpd="sng">
              <a:solidFill>
                <a:srgbClr xmlns:mc="http://schemas.openxmlformats.org/markup-compatibility/2006" val="000000" mc:Ignorable="a14" a14:legacySpreadsheetColorIndex="64"/>
              </a:solidFill>
              <a:prstDash val="solid"/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476250</xdr:colOff>
      <xdr:row>84</xdr:row>
      <xdr:rowOff>19050</xdr:rowOff>
    </xdr:from>
    <xdr:to>
      <xdr:col>12</xdr:col>
      <xdr:colOff>171450</xdr:colOff>
      <xdr:row>85</xdr:row>
      <xdr:rowOff>19050</xdr:rowOff>
    </xdr:to>
    <xdr:sp macro="" textlink="">
      <xdr:nvSpPr>
        <xdr:cNvPr id="56348" name="Arc 10">
          <a:extLst>
            <a:ext uri="{FF2B5EF4-FFF2-40B4-BE49-F238E27FC236}">
              <a16:creationId xmlns:a16="http://schemas.microsoft.com/office/drawing/2014/main" id="{00000000-0008-0000-0500-00001CDC0000}"/>
            </a:ext>
          </a:extLst>
        </xdr:cNvPr>
        <xdr:cNvSpPr>
          <a:spLocks/>
        </xdr:cNvSpPr>
      </xdr:nvSpPr>
      <xdr:spPr bwMode="auto">
        <a:xfrm flipH="1" flipV="1">
          <a:off x="7458075" y="13725525"/>
          <a:ext cx="400050" cy="161925"/>
        </a:xfrm>
        <a:custGeom>
          <a:avLst/>
          <a:gdLst>
            <a:gd name="T0" fmla="*/ 2074250 w 43200"/>
            <a:gd name="T1" fmla="*/ 3663108 h 33313"/>
            <a:gd name="T2" fmla="*/ 31565843 w 43200"/>
            <a:gd name="T3" fmla="*/ 3825728 h 33313"/>
            <a:gd name="T4" fmla="*/ 17153209 w 43200"/>
            <a:gd name="T5" fmla="*/ 2480574 h 33313"/>
            <a:gd name="T6" fmla="*/ 0 60000 65536"/>
            <a:gd name="T7" fmla="*/ 0 60000 65536"/>
            <a:gd name="T8" fmla="*/ 0 60000 6553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0" t="0" r="r" b="b"/>
          <a:pathLst>
            <a:path w="43200" h="33313" fill="none" extrusionOk="0">
              <a:moveTo>
                <a:pt x="2612" y="31896"/>
              </a:moveTo>
              <a:cubicBezTo>
                <a:pt x="897" y="28735"/>
                <a:pt x="0" y="25196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0"/>
                <a:pt x="43200" y="9670"/>
                <a:pt x="43200" y="21600"/>
              </a:cubicBezTo>
              <a:cubicBezTo>
                <a:pt x="43200" y="25754"/>
                <a:pt x="42001" y="29821"/>
                <a:pt x="39748" y="33312"/>
              </a:cubicBezTo>
            </a:path>
            <a:path w="43200" h="33313" stroke="0" extrusionOk="0">
              <a:moveTo>
                <a:pt x="2612" y="31896"/>
              </a:moveTo>
              <a:cubicBezTo>
                <a:pt x="897" y="28735"/>
                <a:pt x="0" y="25196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0"/>
                <a:pt x="43200" y="9670"/>
                <a:pt x="43200" y="21600"/>
              </a:cubicBezTo>
              <a:cubicBezTo>
                <a:pt x="43200" y="25754"/>
                <a:pt x="42001" y="29821"/>
                <a:pt x="39748" y="33312"/>
              </a:cubicBezTo>
              <a:lnTo>
                <a:pt x="21600" y="21600"/>
              </a:lnTo>
              <a:lnTo>
                <a:pt x="2612" y="31896"/>
              </a:lnTo>
              <a:close/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11</xdr:col>
      <xdr:colOff>285750</xdr:colOff>
      <xdr:row>84</xdr:row>
      <xdr:rowOff>47625</xdr:rowOff>
    </xdr:from>
    <xdr:to>
      <xdr:col>11</xdr:col>
      <xdr:colOff>428625</xdr:colOff>
      <xdr:row>85</xdr:row>
      <xdr:rowOff>47625</xdr:rowOff>
    </xdr:to>
    <xdr:sp macro="" textlink="">
      <xdr:nvSpPr>
        <xdr:cNvPr id="5" name="Text Box 1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7267575" y="13754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>
                  <a:alpha val="50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Symbol"/>
            </a:rPr>
            <a:t>a</a:t>
          </a:r>
        </a:p>
      </xdr:txBody>
    </xdr:sp>
    <xdr:clientData/>
  </xdr:twoCellAnchor>
  <xdr:twoCellAnchor>
    <xdr:from>
      <xdr:col>11</xdr:col>
      <xdr:colOff>114300</xdr:colOff>
      <xdr:row>82</xdr:row>
      <xdr:rowOff>19050</xdr:rowOff>
    </xdr:from>
    <xdr:to>
      <xdr:col>12</xdr:col>
      <xdr:colOff>533400</xdr:colOff>
      <xdr:row>82</xdr:row>
      <xdr:rowOff>19050</xdr:rowOff>
    </xdr:to>
    <xdr:sp macro="" textlink="">
      <xdr:nvSpPr>
        <xdr:cNvPr id="56350" name="Line 12">
          <a:extLst>
            <a:ext uri="{FF2B5EF4-FFF2-40B4-BE49-F238E27FC236}">
              <a16:creationId xmlns:a16="http://schemas.microsoft.com/office/drawing/2014/main" id="{00000000-0008-0000-0500-00001EDC0000}"/>
            </a:ext>
          </a:extLst>
        </xdr:cNvPr>
        <xdr:cNvSpPr>
          <a:spLocks noChangeShapeType="1"/>
        </xdr:cNvSpPr>
      </xdr:nvSpPr>
      <xdr:spPr bwMode="auto">
        <a:xfrm>
          <a:off x="7096125" y="13401675"/>
          <a:ext cx="1123950" cy="0"/>
        </a:xfrm>
        <a:prstGeom prst="lin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CCFF" mc:Ignorable="a14" a14:legacySpreadsheetColorIndex="4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114300</xdr:colOff>
      <xdr:row>82</xdr:row>
      <xdr:rowOff>19050</xdr:rowOff>
    </xdr:from>
    <xdr:to>
      <xdr:col>12</xdr:col>
      <xdr:colOff>19050</xdr:colOff>
      <xdr:row>84</xdr:row>
      <xdr:rowOff>76200</xdr:rowOff>
    </xdr:to>
    <xdr:sp macro="" textlink="">
      <xdr:nvSpPr>
        <xdr:cNvPr id="56351" name="Line 13">
          <a:extLst>
            <a:ext uri="{FF2B5EF4-FFF2-40B4-BE49-F238E27FC236}">
              <a16:creationId xmlns:a16="http://schemas.microsoft.com/office/drawing/2014/main" id="{00000000-0008-0000-0500-00001FDC0000}"/>
            </a:ext>
          </a:extLst>
        </xdr:cNvPr>
        <xdr:cNvSpPr>
          <a:spLocks noChangeShapeType="1"/>
        </xdr:cNvSpPr>
      </xdr:nvSpPr>
      <xdr:spPr bwMode="auto">
        <a:xfrm flipH="1" flipV="1">
          <a:off x="7096125" y="13401675"/>
          <a:ext cx="609600" cy="381000"/>
        </a:xfrm>
        <a:prstGeom prst="line">
          <a:avLst/>
        </a:prstGeom>
        <a:noFill/>
        <a:ln w="317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38100</xdr:colOff>
      <xdr:row>82</xdr:row>
      <xdr:rowOff>19050</xdr:rowOff>
    </xdr:from>
    <xdr:to>
      <xdr:col>12</xdr:col>
      <xdr:colOff>523875</xdr:colOff>
      <xdr:row>84</xdr:row>
      <xdr:rowOff>76200</xdr:rowOff>
    </xdr:to>
    <xdr:sp macro="" textlink="">
      <xdr:nvSpPr>
        <xdr:cNvPr id="56352" name="Line 14">
          <a:extLst>
            <a:ext uri="{FF2B5EF4-FFF2-40B4-BE49-F238E27FC236}">
              <a16:creationId xmlns:a16="http://schemas.microsoft.com/office/drawing/2014/main" id="{00000000-0008-0000-0500-000020DC0000}"/>
            </a:ext>
          </a:extLst>
        </xdr:cNvPr>
        <xdr:cNvSpPr>
          <a:spLocks noChangeShapeType="1"/>
        </xdr:cNvSpPr>
      </xdr:nvSpPr>
      <xdr:spPr bwMode="auto">
        <a:xfrm flipV="1">
          <a:off x="7724775" y="13401675"/>
          <a:ext cx="485775" cy="381000"/>
        </a:xfrm>
        <a:prstGeom prst="line">
          <a:avLst/>
        </a:prstGeom>
        <a:noFill/>
        <a:ln w="317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276225</xdr:colOff>
      <xdr:row>19</xdr:row>
      <xdr:rowOff>28575</xdr:rowOff>
    </xdr:from>
    <xdr:to>
      <xdr:col>7</xdr:col>
      <xdr:colOff>504825</xdr:colOff>
      <xdr:row>29</xdr:row>
      <xdr:rowOff>38100</xdr:rowOff>
    </xdr:to>
    <xdr:pic>
      <xdr:nvPicPr>
        <xdr:cNvPr id="56353" name="Picture 26">
          <a:extLst>
            <a:ext uri="{FF2B5EF4-FFF2-40B4-BE49-F238E27FC236}">
              <a16:creationId xmlns:a16="http://schemas.microsoft.com/office/drawing/2014/main" id="{00000000-0008-0000-0500-000021D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3209925"/>
          <a:ext cx="3552825" cy="1628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2</xdr:row>
          <xdr:rowOff>85725</xdr:rowOff>
        </xdr:from>
        <xdr:to>
          <xdr:col>13</xdr:col>
          <xdr:colOff>66675</xdr:colOff>
          <xdr:row>17</xdr:row>
          <xdr:rowOff>152400</xdr:rowOff>
        </xdr:to>
        <xdr:sp macro="" textlink="">
          <xdr:nvSpPr>
            <xdr:cNvPr id="56321" name="Object 1" hidden="1">
              <a:extLst>
                <a:ext uri="{63B3BB69-23CF-44E3-9099-C40C66FF867C}">
                  <a14:compatExt spid="_x0000_s56321"/>
                </a:ext>
                <a:ext uri="{FF2B5EF4-FFF2-40B4-BE49-F238E27FC236}">
                  <a16:creationId xmlns:a16="http://schemas.microsoft.com/office/drawing/2014/main" id="{00000000-0008-0000-0500-000001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FFE701"/>
            </a:gs>
            <a:gs pos="100000">
              <a:srgbClr val="FE3E02"/>
            </a:gs>
          </a:gsLst>
          <a:lin ang="5400000" scaled="1"/>
        </a:gra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legacyPerspectiveFront">
            <a:rot lat="20519999" lon="1080000" rev="0"/>
          </a:camera>
          <a:lightRig rig="legacyHarsh2" dir="b"/>
        </a:scene3d>
        <a:sp3d extrusionH="430200" prstMaterial="legacyMatte">
          <a:bevelT w="13500" h="13500" prst="angle"/>
          <a:bevelB w="13500" h="13500" prst="angle"/>
          <a:extrusionClr>
            <a:srgbClr val="FF6600"/>
          </a:extrusionClr>
          <a:contourClr>
            <a:srgbClr val="FFE701"/>
          </a:contourClr>
        </a:sp3d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FFE701"/>
            </a:gs>
            <a:gs pos="100000">
              <a:srgbClr val="FE3E02"/>
            </a:gs>
          </a:gsLst>
          <a:lin ang="5400000" scaled="1"/>
        </a:gra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legacyPerspectiveFront">
            <a:rot lat="20519999" lon="1080000" rev="0"/>
          </a:camera>
          <a:lightRig rig="legacyHarsh2" dir="b"/>
        </a:scene3d>
        <a:sp3d extrusionH="430200" prstMaterial="legacyMatte">
          <a:bevelT w="13500" h="13500" prst="angle"/>
          <a:bevelB w="13500" h="13500" prst="angle"/>
          <a:extrusionClr>
            <a:srgbClr val="FF6600"/>
          </a:extrusionClr>
          <a:contourClr>
            <a:srgbClr val="FFE701"/>
          </a:contourClr>
        </a:sp3d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.bin"/><Relationship Id="rId13" Type="http://schemas.openxmlformats.org/officeDocument/2006/relationships/image" Target="../media/image4.emf"/><Relationship Id="rId3" Type="http://schemas.openxmlformats.org/officeDocument/2006/relationships/vmlDrawing" Target="../drawings/vmlDrawing2.vml"/><Relationship Id="rId7" Type="http://schemas.openxmlformats.org/officeDocument/2006/relationships/image" Target="../media/image5.emf"/><Relationship Id="rId12" Type="http://schemas.openxmlformats.org/officeDocument/2006/relationships/oleObject" Target="../embeddings/oleObject11.bin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8.bin"/><Relationship Id="rId11" Type="http://schemas.openxmlformats.org/officeDocument/2006/relationships/image" Target="../media/image3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0.bin"/><Relationship Id="rId4" Type="http://schemas.openxmlformats.org/officeDocument/2006/relationships/oleObject" Target="../embeddings/oleObject7.bin"/><Relationship Id="rId9" Type="http://schemas.openxmlformats.org/officeDocument/2006/relationships/image" Target="../media/image2.emf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2.emf"/><Relationship Id="rId4" Type="http://schemas.openxmlformats.org/officeDocument/2006/relationships/oleObject" Target="../embeddings/oleObject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5" Type="http://schemas.openxmlformats.org/officeDocument/2006/relationships/image" Target="../media/image12.emf"/><Relationship Id="rId4" Type="http://schemas.openxmlformats.org/officeDocument/2006/relationships/oleObject" Target="../embeddings/oleObject1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5.xml"/><Relationship Id="rId5" Type="http://schemas.openxmlformats.org/officeDocument/2006/relationships/image" Target="../media/image12.emf"/><Relationship Id="rId4" Type="http://schemas.openxmlformats.org/officeDocument/2006/relationships/oleObject" Target="../embeddings/oleObject1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20.emf"/><Relationship Id="rId4" Type="http://schemas.openxmlformats.org/officeDocument/2006/relationships/oleObject" Target="../embeddings/oleObject1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1112121"/>
  <dimension ref="A1:I100"/>
  <sheetViews>
    <sheetView showGridLines="0" view="pageBreakPreview" topLeftCell="A12" zoomScaleNormal="100" zoomScaleSheetLayoutView="100" workbookViewId="0">
      <selection activeCell="I79" sqref="I79"/>
    </sheetView>
  </sheetViews>
  <sheetFormatPr defaultRowHeight="12.75" x14ac:dyDescent="0.2"/>
  <cols>
    <col min="1" max="1" width="15.7109375" customWidth="1"/>
    <col min="2" max="2" width="12.140625" customWidth="1"/>
    <col min="3" max="3" width="14" customWidth="1"/>
    <col min="4" max="4" width="8" customWidth="1"/>
    <col min="5" max="6" width="10.7109375" customWidth="1"/>
    <col min="7" max="7" width="17.42578125" customWidth="1"/>
    <col min="8" max="8" width="5.7109375" bestFit="1" customWidth="1"/>
    <col min="9" max="9" width="10.140625" customWidth="1"/>
  </cols>
  <sheetData>
    <row r="1" spans="1:9" ht="69" customHeight="1" x14ac:dyDescent="0.2"/>
    <row r="2" spans="1:9" ht="14.25" customHeight="1" x14ac:dyDescent="0.2">
      <c r="A2" s="38"/>
      <c r="B2" s="38"/>
      <c r="C2" s="38"/>
      <c r="D2" s="38"/>
      <c r="E2" s="38"/>
      <c r="F2" s="120" t="s">
        <v>116</v>
      </c>
    </row>
    <row r="3" spans="1:9" ht="21.75" customHeight="1" x14ac:dyDescent="0.35">
      <c r="A3" s="180" t="s">
        <v>131</v>
      </c>
      <c r="B3" s="180"/>
      <c r="C3" s="180"/>
      <c r="D3" s="180"/>
      <c r="E3" s="180"/>
      <c r="F3" s="180"/>
      <c r="G3" s="180"/>
      <c r="H3" s="4"/>
      <c r="I3" s="4"/>
    </row>
    <row r="4" spans="1:9" ht="15" x14ac:dyDescent="0.25">
      <c r="A4" s="116" t="s">
        <v>96</v>
      </c>
      <c r="B4" s="116"/>
      <c r="C4" s="118" t="s">
        <v>114</v>
      </c>
      <c r="D4" s="116"/>
      <c r="E4" s="116"/>
      <c r="F4" s="116"/>
      <c r="G4" s="116"/>
      <c r="H4" s="5"/>
      <c r="I4" s="5"/>
    </row>
    <row r="5" spans="1:9" x14ac:dyDescent="0.2">
      <c r="A5" s="38"/>
      <c r="B5" s="38"/>
      <c r="C5" s="38"/>
      <c r="D5" s="38"/>
      <c r="E5" s="38"/>
      <c r="F5" s="38"/>
      <c r="G5" s="38"/>
    </row>
    <row r="6" spans="1:9" x14ac:dyDescent="0.2">
      <c r="A6" s="133" t="s">
        <v>133</v>
      </c>
      <c r="B6" s="38"/>
      <c r="C6" s="38"/>
      <c r="D6" s="38"/>
      <c r="E6" s="38"/>
      <c r="F6" s="38"/>
      <c r="G6" s="38"/>
    </row>
    <row r="7" spans="1:9" x14ac:dyDescent="0.2">
      <c r="A7" s="38"/>
      <c r="B7" s="38"/>
      <c r="C7" s="38"/>
      <c r="D7" s="38"/>
      <c r="E7" s="38"/>
      <c r="F7" s="38"/>
      <c r="G7" s="38"/>
    </row>
    <row r="8" spans="1:9" x14ac:dyDescent="0.2">
      <c r="A8" s="38"/>
      <c r="B8" s="38"/>
      <c r="C8" s="38"/>
      <c r="D8" s="38"/>
      <c r="E8" s="38"/>
      <c r="F8" s="38"/>
      <c r="G8" s="38"/>
    </row>
    <row r="9" spans="1:9" x14ac:dyDescent="0.2">
      <c r="A9" s="38" t="s">
        <v>18</v>
      </c>
      <c r="B9" s="38"/>
      <c r="C9" s="38"/>
      <c r="D9" s="38"/>
      <c r="E9" s="38"/>
      <c r="F9" s="38"/>
      <c r="G9" s="38"/>
    </row>
    <row r="10" spans="1:9" x14ac:dyDescent="0.2">
      <c r="A10" s="38" t="s">
        <v>65</v>
      </c>
      <c r="B10" s="38"/>
      <c r="C10" s="38"/>
      <c r="D10" s="38"/>
      <c r="E10" s="38"/>
      <c r="F10" s="38"/>
      <c r="G10" s="38"/>
    </row>
    <row r="11" spans="1:9" x14ac:dyDescent="0.2">
      <c r="A11" s="38" t="s">
        <v>19</v>
      </c>
      <c r="B11" s="38"/>
      <c r="C11" s="38"/>
      <c r="D11" s="38"/>
      <c r="E11" s="38"/>
      <c r="F11" s="38"/>
      <c r="G11" s="38"/>
    </row>
    <row r="12" spans="1:9" ht="15.75" x14ac:dyDescent="0.3">
      <c r="A12" s="38" t="s">
        <v>28</v>
      </c>
      <c r="B12" s="38"/>
      <c r="C12" s="38"/>
      <c r="D12" s="38"/>
      <c r="E12" s="38"/>
      <c r="F12" s="38"/>
      <c r="G12" s="38"/>
    </row>
    <row r="13" spans="1:9" x14ac:dyDescent="0.2">
      <c r="A13" s="38" t="s">
        <v>66</v>
      </c>
      <c r="B13" s="38"/>
      <c r="C13" s="38"/>
      <c r="D13" s="38"/>
      <c r="E13" s="38"/>
      <c r="F13" s="38"/>
      <c r="G13" s="38"/>
    </row>
    <row r="14" spans="1:9" ht="9.75" customHeight="1" x14ac:dyDescent="0.2">
      <c r="A14" s="108"/>
      <c r="B14" s="108"/>
      <c r="C14" s="108"/>
      <c r="D14" s="108"/>
      <c r="E14" s="108"/>
      <c r="F14" s="108"/>
      <c r="G14" s="108"/>
    </row>
    <row r="15" spans="1:9" x14ac:dyDescent="0.2">
      <c r="A15" s="39" t="s">
        <v>97</v>
      </c>
      <c r="B15" s="38"/>
      <c r="C15" s="38"/>
      <c r="D15" s="38"/>
      <c r="E15" s="38"/>
      <c r="F15" s="38"/>
      <c r="G15" s="38"/>
    </row>
    <row r="16" spans="1:9" x14ac:dyDescent="0.2">
      <c r="A16" s="39"/>
      <c r="B16" s="38"/>
      <c r="C16" s="38"/>
      <c r="D16" s="38"/>
      <c r="E16" s="38"/>
      <c r="F16" s="38"/>
      <c r="G16" s="38"/>
    </row>
    <row r="17" spans="1:8" x14ac:dyDescent="0.2">
      <c r="A17" s="37" t="s">
        <v>98</v>
      </c>
      <c r="B17" s="38"/>
      <c r="C17" s="38"/>
      <c r="D17" s="38"/>
      <c r="E17" s="38"/>
      <c r="F17" s="38"/>
      <c r="G17" s="38"/>
    </row>
    <row r="18" spans="1:8" x14ac:dyDescent="0.2">
      <c r="A18" s="38" t="s">
        <v>99</v>
      </c>
      <c r="B18" s="38"/>
      <c r="C18" s="38"/>
      <c r="D18" s="38"/>
      <c r="E18" s="38"/>
      <c r="F18" s="38"/>
      <c r="G18" s="38"/>
    </row>
    <row r="19" spans="1:8" x14ac:dyDescent="0.2">
      <c r="A19" s="38"/>
      <c r="B19" s="38"/>
      <c r="C19" s="38"/>
      <c r="D19" s="38"/>
      <c r="E19" s="38"/>
      <c r="F19" s="38"/>
      <c r="G19" s="38"/>
    </row>
    <row r="20" spans="1:8" x14ac:dyDescent="0.2">
      <c r="A20" s="38"/>
      <c r="B20" s="38"/>
      <c r="C20" s="38"/>
      <c r="D20" s="38"/>
      <c r="E20" s="38"/>
      <c r="F20" s="38"/>
      <c r="G20" s="38"/>
    </row>
    <row r="21" spans="1:8" x14ac:dyDescent="0.2">
      <c r="A21" s="38"/>
      <c r="B21" s="38"/>
      <c r="C21" s="38"/>
      <c r="D21" s="38"/>
      <c r="E21" s="38"/>
      <c r="F21" s="38"/>
      <c r="G21" s="38"/>
    </row>
    <row r="22" spans="1:8" x14ac:dyDescent="0.2">
      <c r="A22" s="38"/>
      <c r="B22" s="38"/>
      <c r="C22" s="38"/>
      <c r="D22" s="38"/>
      <c r="E22" s="38"/>
      <c r="F22" s="38"/>
      <c r="G22" s="38"/>
    </row>
    <row r="23" spans="1:8" x14ac:dyDescent="0.2">
      <c r="A23" s="38"/>
      <c r="B23" s="38"/>
      <c r="C23" s="38"/>
      <c r="D23" s="38"/>
      <c r="E23" s="38"/>
      <c r="F23" s="38"/>
      <c r="G23" s="38"/>
    </row>
    <row r="24" spans="1:8" x14ac:dyDescent="0.2">
      <c r="A24" s="38"/>
      <c r="B24" s="38"/>
      <c r="C24" s="38"/>
      <c r="D24" s="38"/>
      <c r="E24" s="38"/>
      <c r="F24" s="38"/>
      <c r="G24" s="38"/>
    </row>
    <row r="25" spans="1:8" x14ac:dyDescent="0.2">
      <c r="A25" s="38"/>
      <c r="B25" s="38"/>
      <c r="C25" s="38"/>
      <c r="D25" s="38"/>
      <c r="E25" s="38"/>
      <c r="F25" s="38"/>
      <c r="G25" s="38"/>
    </row>
    <row r="26" spans="1:8" x14ac:dyDescent="0.2">
      <c r="A26" s="38"/>
      <c r="B26" s="38"/>
      <c r="C26" s="38"/>
      <c r="D26" s="38"/>
      <c r="E26" s="38"/>
      <c r="F26" s="38"/>
      <c r="G26" s="38"/>
    </row>
    <row r="27" spans="1:8" x14ac:dyDescent="0.2">
      <c r="A27" s="38"/>
      <c r="B27" s="38"/>
      <c r="C27" s="38"/>
      <c r="D27" s="38"/>
      <c r="E27" s="38"/>
      <c r="F27" s="38"/>
      <c r="G27" s="38"/>
    </row>
    <row r="28" spans="1:8" x14ac:dyDescent="0.2">
      <c r="A28" s="38"/>
      <c r="B28" s="38"/>
      <c r="C28" s="38"/>
      <c r="D28" s="38"/>
      <c r="E28" s="38"/>
      <c r="F28" s="38"/>
      <c r="G28" s="38"/>
    </row>
    <row r="29" spans="1:8" x14ac:dyDescent="0.2">
      <c r="A29" s="38"/>
      <c r="B29" s="38"/>
      <c r="C29" s="38"/>
      <c r="D29" s="38"/>
      <c r="E29" s="38"/>
      <c r="F29" s="38"/>
      <c r="G29" s="38"/>
    </row>
    <row r="30" spans="1:8" x14ac:dyDescent="0.2">
      <c r="A30" s="38"/>
      <c r="B30" s="38"/>
      <c r="C30" s="38"/>
      <c r="D30" s="38"/>
      <c r="E30" s="38"/>
      <c r="F30" s="38"/>
      <c r="G30" s="38"/>
      <c r="H30" s="8"/>
    </row>
    <row r="31" spans="1:8" x14ac:dyDescent="0.2">
      <c r="A31" s="38"/>
      <c r="B31" s="38"/>
      <c r="C31" s="38"/>
      <c r="D31" s="38"/>
      <c r="E31" s="38"/>
      <c r="F31" s="38"/>
      <c r="G31" s="38"/>
      <c r="H31" s="9"/>
    </row>
    <row r="32" spans="1:8" x14ac:dyDescent="0.2">
      <c r="A32" s="38"/>
      <c r="B32" s="38"/>
      <c r="C32" s="38"/>
      <c r="D32" s="38"/>
      <c r="E32" s="38"/>
      <c r="F32" s="38"/>
      <c r="G32" s="38"/>
      <c r="H32" s="9"/>
    </row>
    <row r="33" spans="1:8" x14ac:dyDescent="0.2">
      <c r="A33" s="38" t="s">
        <v>20</v>
      </c>
      <c r="B33" s="25">
        <v>0.5</v>
      </c>
      <c r="C33" s="37"/>
      <c r="D33" s="38"/>
      <c r="E33" s="38"/>
      <c r="F33" s="38"/>
      <c r="G33" s="38"/>
      <c r="H33" s="9"/>
    </row>
    <row r="34" spans="1:8" x14ac:dyDescent="0.2">
      <c r="A34" s="108"/>
      <c r="B34" s="108"/>
      <c r="C34" s="108"/>
      <c r="D34" s="108"/>
      <c r="E34" s="108"/>
      <c r="F34" s="108"/>
      <c r="G34" s="108"/>
      <c r="H34" s="9"/>
    </row>
    <row r="35" spans="1:8" ht="24.75" customHeight="1" x14ac:dyDescent="0.2">
      <c r="A35" s="117" t="s">
        <v>132</v>
      </c>
      <c r="B35" s="38"/>
      <c r="C35" s="38"/>
      <c r="D35" s="38"/>
      <c r="E35" s="38"/>
      <c r="F35" s="38"/>
      <c r="G35" s="38"/>
    </row>
    <row r="36" spans="1:8" x14ac:dyDescent="0.2">
      <c r="A36" s="38" t="s">
        <v>39</v>
      </c>
      <c r="B36" s="38"/>
      <c r="C36" s="38"/>
      <c r="D36" s="38"/>
      <c r="E36" s="38"/>
      <c r="F36" s="38"/>
      <c r="G36" s="38"/>
    </row>
    <row r="37" spans="1:8" ht="12.75" customHeight="1" x14ac:dyDescent="0.2">
      <c r="A37" s="38"/>
      <c r="B37" s="38"/>
      <c r="C37" s="38"/>
      <c r="D37" s="38"/>
      <c r="E37" s="38"/>
      <c r="F37" s="38"/>
      <c r="G37" s="38"/>
    </row>
    <row r="38" spans="1:8" ht="13.15" customHeight="1" x14ac:dyDescent="0.3">
      <c r="A38" s="38"/>
      <c r="B38" s="38"/>
      <c r="C38" s="38" t="s">
        <v>29</v>
      </c>
      <c r="D38" s="38"/>
      <c r="E38" s="38"/>
      <c r="F38" s="38"/>
      <c r="G38" s="38"/>
    </row>
    <row r="39" spans="1:8" x14ac:dyDescent="0.2">
      <c r="A39" s="38"/>
      <c r="B39" s="109" t="s">
        <v>18</v>
      </c>
      <c r="C39" s="38" t="s">
        <v>21</v>
      </c>
      <c r="D39" s="38"/>
      <c r="E39" s="38"/>
      <c r="F39" s="38"/>
      <c r="G39" s="38"/>
    </row>
    <row r="40" spans="1:8" x14ac:dyDescent="0.2">
      <c r="A40" s="38"/>
      <c r="B40" s="38"/>
      <c r="C40" s="38" t="s">
        <v>22</v>
      </c>
      <c r="D40" s="38"/>
      <c r="E40" s="38"/>
      <c r="F40" s="38"/>
      <c r="G40" s="38"/>
    </row>
    <row r="41" spans="1:8" x14ac:dyDescent="0.2">
      <c r="A41" s="38"/>
      <c r="B41" s="38"/>
      <c r="C41" s="38"/>
      <c r="D41" s="38"/>
      <c r="E41" s="38"/>
      <c r="F41" s="38"/>
      <c r="G41" s="38"/>
    </row>
    <row r="42" spans="1:8" ht="12.75" customHeight="1" x14ac:dyDescent="0.2">
      <c r="A42" s="37" t="s">
        <v>101</v>
      </c>
      <c r="B42" s="38"/>
      <c r="C42" s="38"/>
      <c r="D42" s="38"/>
      <c r="E42" s="38"/>
      <c r="F42" s="38"/>
      <c r="G42" s="38"/>
    </row>
    <row r="43" spans="1:8" x14ac:dyDescent="0.2">
      <c r="A43" s="38"/>
      <c r="B43" s="38"/>
      <c r="C43" s="109"/>
      <c r="D43" s="38"/>
      <c r="E43" s="38"/>
      <c r="F43" s="38"/>
      <c r="G43" s="38"/>
    </row>
    <row r="44" spans="1:8" ht="15.75" x14ac:dyDescent="0.3">
      <c r="A44" s="38"/>
      <c r="B44" s="38"/>
      <c r="C44" s="38" t="s">
        <v>29</v>
      </c>
      <c r="D44" s="38"/>
      <c r="E44" s="38"/>
      <c r="F44" s="38"/>
      <c r="G44" s="38"/>
    </row>
    <row r="45" spans="1:8" x14ac:dyDescent="0.2">
      <c r="A45" s="38"/>
      <c r="B45" s="38"/>
      <c r="C45" s="38" t="s">
        <v>62</v>
      </c>
      <c r="D45" s="38"/>
      <c r="E45" s="38"/>
      <c r="F45" s="38"/>
      <c r="G45" s="38"/>
    </row>
    <row r="46" spans="1:8" ht="15.75" x14ac:dyDescent="0.3">
      <c r="A46" s="38"/>
      <c r="B46" s="38"/>
      <c r="C46" s="38" t="s">
        <v>63</v>
      </c>
      <c r="D46" s="38"/>
      <c r="E46" s="38"/>
      <c r="F46" s="38"/>
      <c r="G46" s="38"/>
    </row>
    <row r="47" spans="1:8" ht="15.75" customHeight="1" x14ac:dyDescent="0.3">
      <c r="A47" s="38"/>
      <c r="B47" s="38"/>
      <c r="C47" s="38" t="s">
        <v>64</v>
      </c>
      <c r="D47" s="38"/>
      <c r="E47" s="38"/>
      <c r="F47" s="38"/>
      <c r="G47" s="38"/>
    </row>
    <row r="48" spans="1:8" x14ac:dyDescent="0.2">
      <c r="A48" s="38" t="s">
        <v>23</v>
      </c>
      <c r="B48" s="110"/>
      <c r="C48" s="26" t="s">
        <v>37</v>
      </c>
      <c r="D48" s="38"/>
      <c r="E48" s="38"/>
      <c r="F48" s="38"/>
      <c r="G48" s="38"/>
    </row>
    <row r="49" spans="1:9" ht="15.75" x14ac:dyDescent="0.3">
      <c r="A49" s="38" t="s">
        <v>69</v>
      </c>
      <c r="B49" s="38"/>
      <c r="C49" s="22">
        <v>2</v>
      </c>
      <c r="D49" s="38" t="s">
        <v>26</v>
      </c>
      <c r="E49" s="38"/>
      <c r="F49" s="38"/>
      <c r="G49" s="38"/>
    </row>
    <row r="50" spans="1:9" x14ac:dyDescent="0.2">
      <c r="A50" s="38" t="s">
        <v>1</v>
      </c>
      <c r="B50" s="38"/>
      <c r="C50" s="22">
        <v>1.2</v>
      </c>
      <c r="D50" s="38" t="s">
        <v>27</v>
      </c>
      <c r="E50" s="38"/>
      <c r="F50" s="38"/>
      <c r="G50" s="38"/>
    </row>
    <row r="51" spans="1:9" ht="15.75" x14ac:dyDescent="0.3">
      <c r="A51" s="38" t="s">
        <v>67</v>
      </c>
      <c r="B51" s="38"/>
      <c r="C51" s="27">
        <v>3.2000000000000002E-3</v>
      </c>
      <c r="D51" s="38" t="s">
        <v>38</v>
      </c>
      <c r="E51" s="38"/>
      <c r="F51" s="38"/>
      <c r="G51" s="38"/>
    </row>
    <row r="52" spans="1:9" x14ac:dyDescent="0.2">
      <c r="A52" s="38"/>
      <c r="B52" s="38"/>
      <c r="C52" s="110"/>
      <c r="D52" s="38"/>
      <c r="E52" s="38"/>
      <c r="F52" s="38"/>
      <c r="G52" s="38"/>
      <c r="I52" s="181"/>
    </row>
    <row r="53" spans="1:9" ht="14.25" x14ac:dyDescent="0.25">
      <c r="A53" s="39" t="s">
        <v>54</v>
      </c>
      <c r="B53" s="39"/>
      <c r="C53" s="87">
        <f>IF(C48="m",0.055*$C$50/SQRT($C$51),IF(C48="p",0.8*24*0.045*($C$49*$C$50)^(1/3)/SQRT($C$51*100),"errore"))</f>
        <v>2.0449176993481726</v>
      </c>
      <c r="D53" s="39" t="s">
        <v>25</v>
      </c>
      <c r="E53" s="38"/>
      <c r="F53" s="38"/>
      <c r="G53" s="38"/>
      <c r="I53" s="181"/>
    </row>
    <row r="54" spans="1:9" ht="11.25" customHeight="1" x14ac:dyDescent="0.2">
      <c r="A54" s="39"/>
      <c r="B54" s="39"/>
      <c r="C54" s="87"/>
      <c r="D54" s="39"/>
      <c r="E54" s="38"/>
      <c r="F54" s="38"/>
      <c r="G54" s="38"/>
      <c r="I54" s="181"/>
    </row>
    <row r="55" spans="1:9" ht="21" customHeight="1" x14ac:dyDescent="0.2">
      <c r="A55" s="115" t="s">
        <v>102</v>
      </c>
      <c r="B55" s="112"/>
      <c r="C55" s="112"/>
      <c r="D55" s="112"/>
      <c r="E55" s="112"/>
      <c r="F55" s="112"/>
      <c r="G55" s="112"/>
    </row>
    <row r="56" spans="1:9" ht="13.15" customHeight="1" x14ac:dyDescent="0.2">
      <c r="A56" s="182" t="s">
        <v>103</v>
      </c>
      <c r="B56" s="182"/>
      <c r="C56" s="182"/>
      <c r="D56" s="182"/>
      <c r="E56" s="182"/>
      <c r="F56" s="182"/>
      <c r="G56" s="182"/>
    </row>
    <row r="57" spans="1:9" ht="13.15" customHeight="1" x14ac:dyDescent="0.2">
      <c r="A57" s="112"/>
      <c r="B57" s="112"/>
      <c r="C57" s="112"/>
      <c r="D57" s="112"/>
      <c r="E57" s="112"/>
      <c r="F57" s="112"/>
      <c r="G57" s="112"/>
      <c r="H57" s="3"/>
      <c r="I57" s="3"/>
    </row>
    <row r="58" spans="1:9" ht="13.15" customHeight="1" x14ac:dyDescent="0.2">
      <c r="A58" s="112"/>
      <c r="B58" s="112"/>
      <c r="C58" s="112"/>
      <c r="D58" s="112"/>
      <c r="E58" s="112"/>
      <c r="F58" s="112"/>
      <c r="G58" s="112"/>
      <c r="H58" s="3"/>
      <c r="I58" s="3"/>
    </row>
    <row r="59" spans="1:9" ht="21.75" customHeight="1" x14ac:dyDescent="0.2">
      <c r="A59" s="37" t="s">
        <v>18</v>
      </c>
      <c r="B59" s="49"/>
      <c r="C59" s="38"/>
      <c r="D59" s="38"/>
      <c r="E59" s="38"/>
      <c r="F59" s="38"/>
      <c r="G59" s="38"/>
      <c r="H59" s="3"/>
      <c r="I59" s="3"/>
    </row>
    <row r="60" spans="1:9" ht="13.15" customHeight="1" x14ac:dyDescent="0.2">
      <c r="A60" s="38"/>
      <c r="B60" s="49"/>
      <c r="C60" s="38"/>
      <c r="D60" s="38"/>
      <c r="E60" s="38"/>
      <c r="F60" s="38"/>
      <c r="G60" s="38"/>
      <c r="H60" s="3"/>
      <c r="I60" s="3"/>
    </row>
    <row r="61" spans="1:9" ht="13.15" customHeight="1" x14ac:dyDescent="0.3">
      <c r="A61" s="37" t="s">
        <v>111</v>
      </c>
      <c r="B61" s="49"/>
      <c r="C61" s="38"/>
      <c r="D61" s="38"/>
      <c r="E61" s="38"/>
      <c r="F61" s="38"/>
      <c r="G61" s="38"/>
      <c r="H61" s="3"/>
      <c r="I61" s="3"/>
    </row>
    <row r="62" spans="1:9" ht="13.15" customHeight="1" x14ac:dyDescent="0.3">
      <c r="A62" s="37" t="s">
        <v>112</v>
      </c>
      <c r="B62" s="49"/>
      <c r="C62" s="38"/>
      <c r="D62" s="38"/>
      <c r="E62" s="38"/>
      <c r="F62" s="38"/>
      <c r="G62" s="38"/>
      <c r="H62" s="3"/>
      <c r="I62" s="3"/>
    </row>
    <row r="63" spans="1:9" ht="13.15" customHeight="1" x14ac:dyDescent="0.2">
      <c r="A63" s="37" t="s">
        <v>55</v>
      </c>
      <c r="B63" s="49">
        <f>IF($N$60,'Calcolo portata Atot&gt;1 Kmq'!$B$96,'Calcolo portata Atot&lt;1 Kmq'!$B$94)</f>
        <v>0.25</v>
      </c>
      <c r="C63" s="38"/>
      <c r="D63" s="38"/>
      <c r="E63" s="38"/>
      <c r="F63" s="38"/>
      <c r="G63" s="38"/>
    </row>
    <row r="64" spans="1:9" ht="13.15" customHeight="1" x14ac:dyDescent="0.2">
      <c r="A64" s="37" t="s">
        <v>61</v>
      </c>
      <c r="B64" s="49"/>
      <c r="C64" s="38"/>
      <c r="D64" s="38"/>
      <c r="E64" s="38"/>
      <c r="F64" s="38"/>
      <c r="G64" s="38"/>
    </row>
    <row r="65" spans="1:7" ht="13.15" customHeight="1" x14ac:dyDescent="0.2">
      <c r="A65" s="37" t="s">
        <v>56</v>
      </c>
      <c r="B65" s="49"/>
      <c r="C65" s="38"/>
      <c r="D65" s="38"/>
      <c r="E65" s="38"/>
      <c r="F65" s="38"/>
      <c r="G65" s="38"/>
    </row>
    <row r="66" spans="1:7" ht="13.15" customHeight="1" x14ac:dyDescent="0.2">
      <c r="A66" s="38"/>
      <c r="B66" s="49"/>
      <c r="C66" s="38"/>
      <c r="D66" s="38"/>
      <c r="E66" s="38"/>
      <c r="F66" s="38"/>
      <c r="G66" s="38"/>
    </row>
    <row r="67" spans="1:7" ht="13.15" customHeight="1" x14ac:dyDescent="0.2">
      <c r="A67" s="37" t="s">
        <v>104</v>
      </c>
      <c r="B67" s="49"/>
      <c r="C67" s="38"/>
      <c r="D67" s="38"/>
      <c r="E67" s="38"/>
      <c r="F67" s="38"/>
      <c r="G67" s="38"/>
    </row>
    <row r="68" spans="1:7" ht="13.15" customHeight="1" x14ac:dyDescent="0.2">
      <c r="A68" s="38"/>
      <c r="B68" s="49"/>
      <c r="C68" s="38"/>
      <c r="D68" s="38"/>
      <c r="E68" s="38"/>
      <c r="F68" s="38"/>
      <c r="G68" s="38"/>
    </row>
    <row r="69" spans="1:7" ht="13.15" customHeight="1" x14ac:dyDescent="0.2">
      <c r="A69" s="37"/>
      <c r="B69" s="49"/>
      <c r="C69" s="38"/>
      <c r="D69" s="38"/>
      <c r="E69" s="38"/>
      <c r="F69" s="38"/>
      <c r="G69" s="38"/>
    </row>
    <row r="70" spans="1:7" ht="15.75" customHeight="1" x14ac:dyDescent="0.2">
      <c r="A70" s="37"/>
      <c r="B70" s="49"/>
      <c r="C70" s="38"/>
      <c r="D70" s="38"/>
      <c r="E70" s="38"/>
      <c r="F70" s="38"/>
      <c r="G70" s="38"/>
    </row>
    <row r="71" spans="1:7" ht="16.5" customHeight="1" x14ac:dyDescent="0.2">
      <c r="A71" s="37"/>
      <c r="B71" s="49"/>
      <c r="C71" s="38"/>
      <c r="D71" s="38"/>
      <c r="E71" s="38"/>
      <c r="F71" s="38"/>
      <c r="G71" s="38"/>
    </row>
    <row r="72" spans="1:7" ht="16.5" customHeight="1" x14ac:dyDescent="0.2">
      <c r="A72" s="37"/>
      <c r="B72" s="49"/>
      <c r="C72" s="38"/>
      <c r="D72" s="38"/>
      <c r="E72" s="38"/>
      <c r="F72" s="38"/>
      <c r="G72" s="38"/>
    </row>
    <row r="73" spans="1:7" ht="16.5" customHeight="1" x14ac:dyDescent="0.2">
      <c r="A73" s="37"/>
      <c r="B73" s="49"/>
      <c r="C73" s="38"/>
      <c r="D73" s="38"/>
      <c r="E73" s="38"/>
      <c r="F73" s="38"/>
      <c r="G73" s="38"/>
    </row>
    <row r="74" spans="1:7" ht="16.5" customHeight="1" x14ac:dyDescent="0.2">
      <c r="A74" s="37"/>
      <c r="B74" s="49"/>
      <c r="C74" s="38"/>
      <c r="D74" s="38"/>
      <c r="E74" s="38"/>
      <c r="F74" s="38"/>
      <c r="G74" s="38"/>
    </row>
    <row r="75" spans="1:7" ht="16.5" customHeight="1" x14ac:dyDescent="0.2">
      <c r="A75" s="37"/>
      <c r="B75" s="49"/>
      <c r="C75" s="38"/>
      <c r="D75" s="38"/>
      <c r="E75" s="38"/>
      <c r="F75" s="38"/>
      <c r="G75" s="38"/>
    </row>
    <row r="76" spans="1:7" ht="16.5" customHeight="1" x14ac:dyDescent="0.2">
      <c r="A76" s="37"/>
      <c r="B76" s="49"/>
      <c r="C76" s="38"/>
      <c r="D76" s="38"/>
      <c r="E76" s="38"/>
      <c r="F76" s="38"/>
      <c r="G76" s="38"/>
    </row>
    <row r="77" spans="1:7" ht="16.5" customHeight="1" x14ac:dyDescent="0.2">
      <c r="A77" s="37"/>
      <c r="B77" s="49"/>
      <c r="C77" s="38"/>
      <c r="D77" s="38"/>
      <c r="E77" s="38"/>
      <c r="F77" s="38"/>
      <c r="G77" s="38"/>
    </row>
    <row r="78" spans="1:7" ht="16.5" customHeight="1" x14ac:dyDescent="0.2">
      <c r="A78" s="37" t="s">
        <v>109</v>
      </c>
      <c r="B78" s="49"/>
      <c r="C78" s="38"/>
      <c r="D78" s="38"/>
      <c r="E78" s="38"/>
      <c r="F78" s="38"/>
      <c r="G78" s="38"/>
    </row>
    <row r="79" spans="1:7" ht="13.15" customHeight="1" x14ac:dyDescent="0.2">
      <c r="A79" s="37"/>
      <c r="B79" s="49"/>
      <c r="C79" s="38"/>
      <c r="D79" s="38"/>
      <c r="E79" s="38"/>
      <c r="F79" s="38"/>
      <c r="G79" s="38"/>
    </row>
    <row r="80" spans="1:7" ht="13.15" customHeight="1" x14ac:dyDescent="0.25">
      <c r="A80" s="20"/>
      <c r="B80" s="124" t="s">
        <v>106</v>
      </c>
      <c r="C80" s="124" t="s">
        <v>107</v>
      </c>
      <c r="D80" s="125" t="s">
        <v>119</v>
      </c>
      <c r="E80" s="125" t="s">
        <v>120</v>
      </c>
      <c r="F80" s="38"/>
    </row>
    <row r="81" spans="1:9" ht="18.75" customHeight="1" x14ac:dyDescent="0.2">
      <c r="A81" s="126" t="s">
        <v>118</v>
      </c>
      <c r="B81" s="178">
        <v>35</v>
      </c>
      <c r="C81" s="179">
        <v>0.33</v>
      </c>
      <c r="D81" s="121">
        <f>B81*$C$53^C81</f>
        <v>44.319113986756527</v>
      </c>
      <c r="E81" s="132">
        <f>D81/$C$53</f>
        <v>21.672810598139701</v>
      </c>
      <c r="F81" s="38"/>
      <c r="G81" s="38"/>
    </row>
    <row r="82" spans="1:9" ht="18.75" customHeight="1" x14ac:dyDescent="0.2">
      <c r="A82" s="126" t="s">
        <v>105</v>
      </c>
      <c r="B82" s="178">
        <v>51</v>
      </c>
      <c r="C82" s="179">
        <v>0.28999999999999998</v>
      </c>
      <c r="D82" s="121">
        <f>B82*$C$53^C82</f>
        <v>62.757577045158399</v>
      </c>
      <c r="E82" s="132">
        <f>D82/$C$53</f>
        <v>30.689536828383208</v>
      </c>
      <c r="F82" s="113"/>
      <c r="G82" s="114"/>
    </row>
    <row r="83" spans="1:9" ht="18" customHeight="1" x14ac:dyDescent="0.2">
      <c r="A83" s="126" t="s">
        <v>117</v>
      </c>
      <c r="B83" s="178">
        <v>58</v>
      </c>
      <c r="C83" s="179">
        <v>0.28999999999999998</v>
      </c>
      <c r="D83" s="121">
        <f>B83*$C$53^C83</f>
        <v>71.371362129787983</v>
      </c>
      <c r="E83" s="132">
        <f>D83/$C$53</f>
        <v>34.901826196984821</v>
      </c>
      <c r="F83" s="49"/>
      <c r="G83" s="87"/>
    </row>
    <row r="84" spans="1:9" ht="17.25" customHeight="1" x14ac:dyDescent="0.2">
      <c r="A84" s="127" t="s">
        <v>108</v>
      </c>
      <c r="B84" s="178">
        <v>74</v>
      </c>
      <c r="C84" s="179">
        <v>0.28999999999999998</v>
      </c>
      <c r="D84" s="121">
        <f>B84*$C$53^C84</f>
        <v>91.060013751798465</v>
      </c>
      <c r="E84" s="132">
        <f>D84/$C$53</f>
        <v>44.529916182359948</v>
      </c>
      <c r="F84" s="49"/>
      <c r="G84" s="87"/>
    </row>
    <row r="85" spans="1:9" ht="29.25" customHeight="1" x14ac:dyDescent="0.25">
      <c r="A85" s="39" t="s">
        <v>110</v>
      </c>
      <c r="B85" s="38"/>
      <c r="C85" s="38"/>
      <c r="D85" s="38"/>
      <c r="E85" s="38"/>
      <c r="F85" s="38"/>
      <c r="G85" s="38"/>
      <c r="H85" s="6"/>
      <c r="I85" s="7"/>
    </row>
    <row r="86" spans="1:9" ht="22.5" customHeight="1" x14ac:dyDescent="0.2">
      <c r="A86" s="38"/>
      <c r="B86" s="38"/>
      <c r="C86" s="38"/>
      <c r="D86" s="38"/>
      <c r="E86" s="38"/>
      <c r="F86" s="38"/>
      <c r="G86" s="38"/>
    </row>
    <row r="87" spans="1:9" ht="17.100000000000001" customHeight="1" x14ac:dyDescent="0.2">
      <c r="A87" s="38"/>
      <c r="B87" s="38"/>
      <c r="C87" s="38"/>
      <c r="D87" s="38"/>
      <c r="E87" s="38"/>
      <c r="F87" s="38"/>
      <c r="G87" s="38"/>
    </row>
    <row r="88" spans="1:9" ht="17.100000000000001" customHeight="1" x14ac:dyDescent="0.25">
      <c r="A88" s="98" t="s">
        <v>121</v>
      </c>
      <c r="B88" s="128">
        <f>0.278*$B$33*E81*$C$49</f>
        <v>6.0250413462828378</v>
      </c>
      <c r="C88" s="98" t="s">
        <v>122</v>
      </c>
      <c r="D88" s="129"/>
      <c r="E88" s="98" t="s">
        <v>123</v>
      </c>
      <c r="F88" s="130">
        <f>B88/$C$49</f>
        <v>3.0125206731414189</v>
      </c>
      <c r="G88" s="98" t="s">
        <v>124</v>
      </c>
    </row>
    <row r="89" spans="1:9" ht="16.5" customHeight="1" x14ac:dyDescent="0.25">
      <c r="A89" s="98" t="s">
        <v>125</v>
      </c>
      <c r="B89" s="128">
        <f>0.278*$B$33*E82*$C$49</f>
        <v>8.5316912382905326</v>
      </c>
      <c r="C89" s="98" t="s">
        <v>122</v>
      </c>
      <c r="D89" s="131"/>
      <c r="E89" s="98" t="s">
        <v>126</v>
      </c>
      <c r="F89" s="130">
        <f>B89/$C$49</f>
        <v>4.2658456191452663</v>
      </c>
      <c r="G89" s="98" t="s">
        <v>124</v>
      </c>
      <c r="I89" s="24"/>
    </row>
    <row r="90" spans="1:9" ht="16.5" customHeight="1" x14ac:dyDescent="0.25">
      <c r="A90" s="98" t="s">
        <v>127</v>
      </c>
      <c r="B90" s="128">
        <f>0.278*$B$33*E83*$C$49</f>
        <v>9.7027076827617815</v>
      </c>
      <c r="C90" s="98" t="s">
        <v>122</v>
      </c>
      <c r="D90" s="131"/>
      <c r="E90" s="98" t="s">
        <v>128</v>
      </c>
      <c r="F90" s="130">
        <f>B90/$C$49</f>
        <v>4.8513538413808908</v>
      </c>
      <c r="G90" s="98" t="s">
        <v>124</v>
      </c>
      <c r="I90" s="24"/>
    </row>
    <row r="91" spans="1:9" ht="16.5" customHeight="1" x14ac:dyDescent="0.25">
      <c r="A91" s="98" t="s">
        <v>129</v>
      </c>
      <c r="B91" s="128">
        <f>0.278*$B$33*E84*$C$49</f>
        <v>12.379316698696067</v>
      </c>
      <c r="C91" s="98" t="s">
        <v>122</v>
      </c>
      <c r="D91" s="131"/>
      <c r="E91" s="98" t="s">
        <v>130</v>
      </c>
      <c r="F91" s="130">
        <f>B91/$C$49</f>
        <v>6.1896583493480337</v>
      </c>
      <c r="G91" s="98" t="s">
        <v>124</v>
      </c>
      <c r="I91" s="24"/>
    </row>
    <row r="92" spans="1:9" ht="13.15" customHeight="1" x14ac:dyDescent="0.2">
      <c r="A92" s="108"/>
      <c r="B92" s="108"/>
      <c r="C92" s="108"/>
      <c r="D92" s="108"/>
      <c r="E92" s="108"/>
      <c r="F92" s="108"/>
      <c r="G92" s="108"/>
    </row>
    <row r="93" spans="1:9" ht="14.25" customHeight="1" x14ac:dyDescent="0.2">
      <c r="A93" s="39" t="s">
        <v>113</v>
      </c>
      <c r="B93" s="38"/>
      <c r="C93" s="38"/>
      <c r="D93" s="38"/>
      <c r="E93" s="38"/>
      <c r="F93" s="38"/>
      <c r="G93" s="38"/>
    </row>
    <row r="94" spans="1:9" ht="21" customHeight="1" x14ac:dyDescent="0.3">
      <c r="A94" s="37" t="s">
        <v>57</v>
      </c>
      <c r="B94" s="25">
        <v>0.8</v>
      </c>
      <c r="C94" s="37" t="s">
        <v>58</v>
      </c>
      <c r="D94" s="37" t="s">
        <v>43</v>
      </c>
      <c r="E94" s="38"/>
      <c r="F94" s="38"/>
      <c r="G94" s="38"/>
    </row>
    <row r="95" spans="1:9" ht="12.75" customHeight="1" x14ac:dyDescent="0.2">
      <c r="A95" s="38"/>
      <c r="B95" s="38"/>
      <c r="C95" s="38"/>
      <c r="D95" s="38"/>
      <c r="E95" s="38"/>
      <c r="F95" s="38"/>
      <c r="G95" s="38"/>
    </row>
    <row r="96" spans="1:9" s="135" customFormat="1" ht="17.100000000000001" customHeight="1" x14ac:dyDescent="0.25">
      <c r="A96" s="39" t="s">
        <v>165</v>
      </c>
      <c r="B96" s="173">
        <f>F88*$B$94</f>
        <v>2.4100165385131351</v>
      </c>
      <c r="C96" s="39" t="s">
        <v>30</v>
      </c>
      <c r="D96" s="38"/>
      <c r="E96" s="38"/>
      <c r="F96" s="38"/>
      <c r="G96" s="38"/>
    </row>
    <row r="97" spans="1:7" s="135" customFormat="1" ht="17.100000000000001" customHeight="1" x14ac:dyDescent="0.25">
      <c r="A97" s="134" t="s">
        <v>59</v>
      </c>
      <c r="B97" s="137">
        <f>F89*$B$94</f>
        <v>3.4126764953162132</v>
      </c>
      <c r="C97" s="134" t="s">
        <v>30</v>
      </c>
      <c r="D97" s="136"/>
      <c r="E97" s="134"/>
      <c r="F97" s="134"/>
      <c r="G97" s="134"/>
    </row>
    <row r="98" spans="1:7" s="135" customFormat="1" ht="17.100000000000001" customHeight="1" x14ac:dyDescent="0.25">
      <c r="A98" s="134" t="s">
        <v>134</v>
      </c>
      <c r="B98" s="137">
        <f>F90*$B$94</f>
        <v>3.8810830731047128</v>
      </c>
      <c r="C98" s="134" t="s">
        <v>30</v>
      </c>
      <c r="D98" s="136"/>
      <c r="E98" s="134"/>
      <c r="F98" s="134"/>
      <c r="G98" s="134"/>
    </row>
    <row r="99" spans="1:7" s="135" customFormat="1" ht="17.100000000000001" customHeight="1" x14ac:dyDescent="0.25">
      <c r="A99" s="134" t="s">
        <v>60</v>
      </c>
      <c r="B99" s="137">
        <f>F91*$B$94</f>
        <v>4.9517266794784272</v>
      </c>
      <c r="C99" s="134" t="s">
        <v>30</v>
      </c>
      <c r="D99" s="136"/>
      <c r="E99" s="134"/>
      <c r="F99" s="134"/>
      <c r="G99" s="134"/>
    </row>
    <row r="100" spans="1:7" s="135" customFormat="1" x14ac:dyDescent="0.2"/>
  </sheetData>
  <mergeCells count="3">
    <mergeCell ref="A3:G3"/>
    <mergeCell ref="I52:I54"/>
    <mergeCell ref="A56:G56"/>
  </mergeCells>
  <phoneticPr fontId="0" type="noConversion"/>
  <printOptions horizontalCentered="1" verticalCentered="1"/>
  <pageMargins left="0.78740157480314965" right="0.78740157480314965" top="0.59055118110236227" bottom="0.59055118110236227" header="0.19685039370078741" footer="0.19685039370078741"/>
  <pageSetup paperSize="9" scale="95" fitToHeight="2" orientation="portrait" horizontalDpi="4294967293" verticalDpi="300" r:id="rId1"/>
  <headerFooter alignWithMargins="0"/>
  <rowBreaks count="1" manualBreakCount="1">
    <brk id="54" max="6" man="1"/>
  </rowBreaks>
  <drawing r:id="rId2"/>
  <legacyDrawing r:id="rId3"/>
  <oleObjects>
    <mc:AlternateContent xmlns:mc="http://schemas.openxmlformats.org/markup-compatibility/2006">
      <mc:Choice Requires="x14">
        <oleObject progId="Equation.3" shapeId="21506" r:id="rId4">
          <objectPr defaultSize="0" autoPict="0" r:id="rId5">
            <anchor moveWithCells="1">
              <from>
                <xdr:col>0</xdr:col>
                <xdr:colOff>57150</xdr:colOff>
                <xdr:row>36</xdr:row>
                <xdr:rowOff>142875</xdr:rowOff>
              </from>
              <to>
                <xdr:col>1</xdr:col>
                <xdr:colOff>142875</xdr:colOff>
                <xdr:row>39</xdr:row>
                <xdr:rowOff>133350</xdr:rowOff>
              </to>
            </anchor>
          </objectPr>
        </oleObject>
      </mc:Choice>
      <mc:Fallback>
        <oleObject progId="Equation.3" shapeId="21506" r:id="rId4"/>
      </mc:Fallback>
    </mc:AlternateContent>
    <mc:AlternateContent xmlns:mc="http://schemas.openxmlformats.org/markup-compatibility/2006">
      <mc:Choice Requires="x14">
        <oleObject progId="Equation.3" shapeId="21507" r:id="rId6">
          <objectPr defaultSize="0" autoPict="0" r:id="rId7">
            <anchor moveWithCells="1">
              <from>
                <xdr:col>0</xdr:col>
                <xdr:colOff>104775</xdr:colOff>
                <xdr:row>85</xdr:row>
                <xdr:rowOff>66675</xdr:rowOff>
              </from>
              <to>
                <xdr:col>1</xdr:col>
                <xdr:colOff>123825</xdr:colOff>
                <xdr:row>86</xdr:row>
                <xdr:rowOff>47625</xdr:rowOff>
              </to>
            </anchor>
          </objectPr>
        </oleObject>
      </mc:Choice>
      <mc:Fallback>
        <oleObject progId="Equation.3" shapeId="21507" r:id="rId6"/>
      </mc:Fallback>
    </mc:AlternateContent>
    <mc:AlternateContent xmlns:mc="http://schemas.openxmlformats.org/markup-compatibility/2006">
      <mc:Choice Requires="x14">
        <oleObject progId="Equation.3" shapeId="21508" r:id="rId8">
          <objectPr defaultSize="0" autoPict="0" r:id="rId9">
            <anchor moveWithCells="1">
              <from>
                <xdr:col>0</xdr:col>
                <xdr:colOff>95250</xdr:colOff>
                <xdr:row>56</xdr:row>
                <xdr:rowOff>142875</xdr:rowOff>
              </from>
              <to>
                <xdr:col>1</xdr:col>
                <xdr:colOff>600075</xdr:colOff>
                <xdr:row>58</xdr:row>
                <xdr:rowOff>85725</xdr:rowOff>
              </to>
            </anchor>
          </objectPr>
        </oleObject>
      </mc:Choice>
      <mc:Fallback>
        <oleObject progId="Equation.3" shapeId="21508" r:id="rId8"/>
      </mc:Fallback>
    </mc:AlternateContent>
    <mc:AlternateContent xmlns:mc="http://schemas.openxmlformats.org/markup-compatibility/2006">
      <mc:Choice Requires="x14">
        <oleObject progId="Equation.3" shapeId="21509" r:id="rId10">
          <objectPr defaultSize="0" autoPict="0" r:id="rId11">
            <anchor moveWithCells="1">
              <from>
                <xdr:col>2</xdr:col>
                <xdr:colOff>171450</xdr:colOff>
                <xdr:row>56</xdr:row>
                <xdr:rowOff>142875</xdr:rowOff>
              </from>
              <to>
                <xdr:col>4</xdr:col>
                <xdr:colOff>152400</xdr:colOff>
                <xdr:row>58</xdr:row>
                <xdr:rowOff>85725</xdr:rowOff>
              </to>
            </anchor>
          </objectPr>
        </oleObject>
      </mc:Choice>
      <mc:Fallback>
        <oleObject progId="Equation.3" shapeId="21509" r:id="rId10"/>
      </mc:Fallback>
    </mc:AlternateContent>
    <mc:AlternateContent xmlns:mc="http://schemas.openxmlformats.org/markup-compatibility/2006">
      <mc:Choice Requires="x14">
        <oleObject progId="Equation.3" shapeId="21511" r:id="rId12">
          <objectPr defaultSize="0" autoPict="0" r:id="rId13">
            <anchor moveWithCells="1">
              <from>
                <xdr:col>0</xdr:col>
                <xdr:colOff>1000125</xdr:colOff>
                <xdr:row>6</xdr:row>
                <xdr:rowOff>76200</xdr:rowOff>
              </from>
              <to>
                <xdr:col>2</xdr:col>
                <xdr:colOff>428625</xdr:colOff>
                <xdr:row>7</xdr:row>
                <xdr:rowOff>123825</xdr:rowOff>
              </to>
            </anchor>
          </objectPr>
        </oleObject>
      </mc:Choice>
      <mc:Fallback>
        <oleObject progId="Equation.3" shapeId="21511" r:id="rId12"/>
      </mc:Fallback>
    </mc:AlternateContent>
    <mc:AlternateContent xmlns:mc="http://schemas.openxmlformats.org/markup-compatibility/2006">
      <mc:Choice Requires="x14">
        <oleObject progId="Equation.3" shapeId="21524" r:id="rId14">
          <objectPr defaultSize="0" autoPict="0" r:id="rId15">
            <anchor moveWithCells="1">
              <from>
                <xdr:col>0</xdr:col>
                <xdr:colOff>85725</xdr:colOff>
                <xdr:row>43</xdr:row>
                <xdr:rowOff>0</xdr:rowOff>
              </from>
              <to>
                <xdr:col>1</xdr:col>
                <xdr:colOff>752475</xdr:colOff>
                <xdr:row>45</xdr:row>
                <xdr:rowOff>123825</xdr:rowOff>
              </to>
            </anchor>
          </objectPr>
        </oleObject>
      </mc:Choice>
      <mc:Fallback>
        <oleObject progId="Equation.3" shapeId="21524" r:id="rId1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99"/>
  <sheetViews>
    <sheetView showGridLines="0" tabSelected="1" view="pageBreakPreview" zoomScale="115" zoomScaleNormal="100" zoomScaleSheetLayoutView="115" workbookViewId="0">
      <selection activeCell="F6" sqref="F6"/>
    </sheetView>
  </sheetViews>
  <sheetFormatPr defaultRowHeight="12.75" x14ac:dyDescent="0.2"/>
  <cols>
    <col min="1" max="1" width="15.7109375" customWidth="1"/>
    <col min="2" max="2" width="12.140625" customWidth="1"/>
    <col min="3" max="3" width="14" customWidth="1"/>
    <col min="4" max="4" width="6.85546875" customWidth="1"/>
    <col min="5" max="5" width="10.7109375" customWidth="1"/>
    <col min="6" max="6" width="6.85546875" customWidth="1"/>
    <col min="7" max="7" width="17.42578125" customWidth="1"/>
    <col min="8" max="8" width="5.7109375" bestFit="1" customWidth="1"/>
    <col min="9" max="9" width="10.140625" customWidth="1"/>
  </cols>
  <sheetData>
    <row r="1" spans="1:9" ht="60" customHeight="1" x14ac:dyDescent="0.2"/>
    <row r="2" spans="1:9" ht="22.5" customHeight="1" x14ac:dyDescent="0.25">
      <c r="A2" s="38"/>
      <c r="B2" s="38"/>
      <c r="C2" s="194" t="s">
        <v>116</v>
      </c>
      <c r="D2" s="38"/>
      <c r="E2" s="194"/>
      <c r="G2" s="193"/>
    </row>
    <row r="3" spans="1:9" ht="21.75" customHeight="1" x14ac:dyDescent="0.35">
      <c r="A3" s="180" t="s">
        <v>73</v>
      </c>
      <c r="B3" s="180"/>
      <c r="C3" s="180"/>
      <c r="D3" s="180"/>
      <c r="E3" s="180"/>
      <c r="F3" s="180"/>
      <c r="G3" s="180"/>
      <c r="H3" s="4"/>
      <c r="I3" s="4"/>
    </row>
    <row r="4" spans="1:9" ht="15" x14ac:dyDescent="0.25">
      <c r="A4" s="116" t="s">
        <v>96</v>
      </c>
      <c r="B4" s="116"/>
      <c r="C4" s="118" t="s">
        <v>170</v>
      </c>
      <c r="D4" s="116"/>
      <c r="E4" s="116"/>
      <c r="F4" s="116"/>
      <c r="G4" s="116"/>
      <c r="H4" s="5"/>
      <c r="I4" s="5"/>
    </row>
    <row r="5" spans="1:9" x14ac:dyDescent="0.2">
      <c r="A5" s="38"/>
      <c r="B5" s="38"/>
      <c r="C5" s="38"/>
      <c r="D5" s="38"/>
      <c r="E5" s="38"/>
      <c r="F5" s="38"/>
      <c r="G5" s="38"/>
    </row>
    <row r="6" spans="1:9" x14ac:dyDescent="0.2">
      <c r="A6" s="133" t="s">
        <v>133</v>
      </c>
      <c r="B6" s="38"/>
      <c r="C6" s="38"/>
      <c r="D6" s="38"/>
      <c r="E6" s="38"/>
      <c r="F6" s="38"/>
      <c r="G6" s="38"/>
    </row>
    <row r="7" spans="1:9" x14ac:dyDescent="0.2">
      <c r="A7" s="38"/>
      <c r="B7" s="38"/>
      <c r="C7" s="38"/>
      <c r="D7" s="38"/>
      <c r="E7" s="38"/>
      <c r="F7" s="38"/>
      <c r="G7" s="38"/>
    </row>
    <row r="8" spans="1:9" x14ac:dyDescent="0.2">
      <c r="A8" s="38"/>
      <c r="B8" s="38"/>
      <c r="C8" s="38"/>
      <c r="D8" s="38"/>
      <c r="E8" s="38"/>
      <c r="F8" s="38"/>
      <c r="G8" s="38"/>
    </row>
    <row r="9" spans="1:9" x14ac:dyDescent="0.2">
      <c r="A9" s="38" t="s">
        <v>18</v>
      </c>
      <c r="B9" s="38"/>
      <c r="C9" s="38"/>
      <c r="D9" s="38"/>
      <c r="E9" s="38"/>
      <c r="F9" s="38"/>
      <c r="G9" s="38"/>
    </row>
    <row r="10" spans="1:9" x14ac:dyDescent="0.2">
      <c r="A10" s="38" t="s">
        <v>65</v>
      </c>
      <c r="B10" s="38"/>
      <c r="C10" s="38"/>
      <c r="D10" s="38"/>
      <c r="E10" s="38"/>
      <c r="F10" s="38"/>
      <c r="G10" s="38"/>
    </row>
    <row r="11" spans="1:9" x14ac:dyDescent="0.2">
      <c r="A11" s="38" t="s">
        <v>19</v>
      </c>
      <c r="B11" s="38"/>
      <c r="C11" s="38"/>
      <c r="D11" s="38"/>
      <c r="E11" s="38"/>
      <c r="F11" s="38"/>
      <c r="G11" s="38"/>
    </row>
    <row r="12" spans="1:9" ht="15.75" x14ac:dyDescent="0.3">
      <c r="A12" s="38" t="s">
        <v>28</v>
      </c>
      <c r="B12" s="38"/>
      <c r="C12" s="38"/>
      <c r="D12" s="38"/>
      <c r="E12" s="38"/>
      <c r="F12" s="38"/>
      <c r="G12" s="38"/>
    </row>
    <row r="13" spans="1:9" x14ac:dyDescent="0.2">
      <c r="A13" s="38" t="s">
        <v>66</v>
      </c>
      <c r="B13" s="38"/>
      <c r="C13" s="38"/>
      <c r="D13" s="38"/>
      <c r="E13" s="38"/>
      <c r="F13" s="38"/>
      <c r="G13" s="38"/>
    </row>
    <row r="14" spans="1:9" x14ac:dyDescent="0.2">
      <c r="A14" s="108"/>
      <c r="B14" s="108"/>
      <c r="C14" s="108"/>
      <c r="D14" s="108"/>
      <c r="E14" s="108"/>
      <c r="F14" s="108"/>
      <c r="G14" s="108"/>
    </row>
    <row r="15" spans="1:9" x14ac:dyDescent="0.2">
      <c r="A15" s="39" t="s">
        <v>97</v>
      </c>
      <c r="B15" s="38"/>
      <c r="C15" s="38"/>
      <c r="D15" s="38"/>
      <c r="E15" s="38"/>
      <c r="F15" s="38"/>
      <c r="G15" s="38"/>
    </row>
    <row r="16" spans="1:9" x14ac:dyDescent="0.2">
      <c r="A16" s="39"/>
      <c r="B16" s="38"/>
      <c r="C16" s="38"/>
      <c r="D16" s="38"/>
      <c r="E16" s="38"/>
      <c r="F16" s="38"/>
      <c r="G16" s="38"/>
    </row>
    <row r="17" spans="1:8" x14ac:dyDescent="0.2">
      <c r="A17" s="37" t="s">
        <v>98</v>
      </c>
      <c r="B17" s="38"/>
      <c r="C17" s="38"/>
      <c r="D17" s="38"/>
      <c r="E17" s="38"/>
      <c r="F17" s="38"/>
      <c r="G17" s="38"/>
    </row>
    <row r="18" spans="1:8" x14ac:dyDescent="0.2">
      <c r="A18" s="38" t="s">
        <v>99</v>
      </c>
      <c r="B18" s="38"/>
      <c r="C18" s="38"/>
      <c r="D18" s="38"/>
      <c r="E18" s="38"/>
      <c r="F18" s="38"/>
      <c r="G18" s="38"/>
    </row>
    <row r="19" spans="1:8" x14ac:dyDescent="0.2">
      <c r="A19" s="38"/>
      <c r="B19" s="38"/>
      <c r="C19" s="38"/>
      <c r="D19" s="38"/>
      <c r="E19" s="38"/>
      <c r="F19" s="38"/>
      <c r="G19" s="38"/>
    </row>
    <row r="20" spans="1:8" x14ac:dyDescent="0.2">
      <c r="A20" s="38"/>
      <c r="B20" s="38"/>
      <c r="C20" s="38"/>
      <c r="D20" s="38"/>
      <c r="E20" s="38"/>
      <c r="F20" s="38"/>
      <c r="G20" s="38"/>
    </row>
    <row r="21" spans="1:8" x14ac:dyDescent="0.2">
      <c r="A21" s="38"/>
      <c r="B21" s="38"/>
      <c r="C21" s="38"/>
      <c r="D21" s="38"/>
      <c r="E21" s="38"/>
      <c r="F21" s="38"/>
      <c r="G21" s="38"/>
    </row>
    <row r="22" spans="1:8" x14ac:dyDescent="0.2">
      <c r="A22" s="38"/>
      <c r="B22" s="38"/>
      <c r="C22" s="38"/>
      <c r="D22" s="38"/>
      <c r="E22" s="38"/>
      <c r="F22" s="38"/>
      <c r="G22" s="38"/>
    </row>
    <row r="23" spans="1:8" x14ac:dyDescent="0.2">
      <c r="A23" s="38"/>
      <c r="B23" s="38"/>
      <c r="C23" s="38"/>
      <c r="D23" s="38"/>
      <c r="E23" s="38"/>
      <c r="F23" s="38"/>
      <c r="G23" s="38"/>
    </row>
    <row r="24" spans="1:8" x14ac:dyDescent="0.2">
      <c r="A24" s="38"/>
      <c r="B24" s="38"/>
      <c r="C24" s="38"/>
      <c r="D24" s="38"/>
      <c r="E24" s="38"/>
      <c r="F24" s="38"/>
      <c r="G24" s="38"/>
    </row>
    <row r="25" spans="1:8" x14ac:dyDescent="0.2">
      <c r="A25" s="38"/>
      <c r="B25" s="38"/>
      <c r="C25" s="38"/>
      <c r="D25" s="38"/>
      <c r="E25" s="38"/>
      <c r="F25" s="38"/>
      <c r="G25" s="38"/>
    </row>
    <row r="26" spans="1:8" x14ac:dyDescent="0.2">
      <c r="A26" s="38"/>
      <c r="B26" s="38"/>
      <c r="C26" s="38"/>
      <c r="D26" s="38"/>
      <c r="E26" s="38"/>
      <c r="F26" s="38"/>
      <c r="G26" s="38"/>
    </row>
    <row r="27" spans="1:8" x14ac:dyDescent="0.2">
      <c r="A27" s="38"/>
      <c r="B27" s="38"/>
      <c r="C27" s="38"/>
      <c r="D27" s="38"/>
      <c r="E27" s="38"/>
      <c r="F27" s="38"/>
      <c r="G27" s="38"/>
    </row>
    <row r="28" spans="1:8" x14ac:dyDescent="0.2">
      <c r="A28" s="38"/>
      <c r="B28" s="38"/>
      <c r="C28" s="38"/>
      <c r="D28" s="38"/>
      <c r="E28" s="38"/>
      <c r="F28" s="38"/>
      <c r="G28" s="38"/>
    </row>
    <row r="29" spans="1:8" x14ac:dyDescent="0.2">
      <c r="A29" s="38"/>
      <c r="B29" s="38"/>
      <c r="C29" s="38"/>
      <c r="D29" s="38"/>
      <c r="E29" s="38"/>
      <c r="F29" s="38"/>
      <c r="G29" s="38"/>
    </row>
    <row r="30" spans="1:8" x14ac:dyDescent="0.2">
      <c r="A30" s="38"/>
      <c r="B30" s="38"/>
      <c r="C30" s="38"/>
      <c r="D30" s="38"/>
      <c r="E30" s="38"/>
      <c r="F30" s="38"/>
      <c r="G30" s="38"/>
      <c r="H30" s="8"/>
    </row>
    <row r="31" spans="1:8" x14ac:dyDescent="0.2">
      <c r="A31" s="38"/>
      <c r="B31" s="38"/>
      <c r="C31" s="38"/>
      <c r="D31" s="38"/>
      <c r="E31" s="38"/>
      <c r="F31" s="38"/>
      <c r="G31" s="38"/>
      <c r="H31" s="9"/>
    </row>
    <row r="32" spans="1:8" x14ac:dyDescent="0.2">
      <c r="A32" s="38"/>
      <c r="B32" s="38"/>
      <c r="C32" s="38"/>
      <c r="D32" s="38"/>
      <c r="E32" s="38"/>
      <c r="F32" s="38"/>
      <c r="G32" s="38"/>
      <c r="H32" s="9"/>
    </row>
    <row r="33" spans="1:8" x14ac:dyDescent="0.2">
      <c r="A33" s="38" t="s">
        <v>20</v>
      </c>
      <c r="B33" s="25">
        <v>0.5</v>
      </c>
      <c r="C33" s="37"/>
      <c r="D33" s="38"/>
      <c r="E33" s="38"/>
      <c r="F33" s="38"/>
      <c r="G33" s="38"/>
      <c r="H33" s="9"/>
    </row>
    <row r="34" spans="1:8" x14ac:dyDescent="0.2">
      <c r="A34" s="108"/>
      <c r="B34" s="108"/>
      <c r="C34" s="108"/>
      <c r="D34" s="108"/>
      <c r="E34" s="108"/>
      <c r="F34" s="108"/>
      <c r="G34" s="108"/>
      <c r="H34" s="9"/>
    </row>
    <row r="35" spans="1:8" ht="24.75" customHeight="1" x14ac:dyDescent="0.2">
      <c r="A35" s="117" t="s">
        <v>100</v>
      </c>
      <c r="B35" s="38"/>
      <c r="C35" s="38"/>
      <c r="D35" s="38"/>
      <c r="E35" s="38"/>
      <c r="F35" s="38"/>
      <c r="G35" s="38"/>
    </row>
    <row r="36" spans="1:8" x14ac:dyDescent="0.2">
      <c r="A36" s="38" t="s">
        <v>39</v>
      </c>
      <c r="B36" s="38"/>
      <c r="C36" s="38"/>
      <c r="D36" s="38"/>
      <c r="E36" s="38"/>
      <c r="F36" s="38"/>
      <c r="G36" s="38"/>
    </row>
    <row r="37" spans="1:8" ht="12.75" customHeight="1" x14ac:dyDescent="0.2">
      <c r="A37" s="38"/>
      <c r="B37" s="38"/>
      <c r="C37" s="38"/>
      <c r="D37" s="38"/>
      <c r="E37" s="38"/>
      <c r="F37" s="38"/>
      <c r="G37" s="38"/>
    </row>
    <row r="38" spans="1:8" ht="13.15" customHeight="1" x14ac:dyDescent="0.3">
      <c r="A38" s="38"/>
      <c r="B38" s="38"/>
      <c r="C38" s="38" t="s">
        <v>29</v>
      </c>
      <c r="D38" s="38"/>
      <c r="E38" s="38"/>
      <c r="F38" s="38"/>
      <c r="G38" s="38"/>
    </row>
    <row r="39" spans="1:8" x14ac:dyDescent="0.2">
      <c r="A39" s="38"/>
      <c r="B39" s="109" t="s">
        <v>18</v>
      </c>
      <c r="C39" s="38" t="s">
        <v>21</v>
      </c>
      <c r="D39" s="38"/>
      <c r="E39" s="38"/>
      <c r="F39" s="38"/>
      <c r="G39" s="38"/>
    </row>
    <row r="40" spans="1:8" x14ac:dyDescent="0.2">
      <c r="A40" s="38"/>
      <c r="B40" s="38"/>
      <c r="C40" s="38" t="s">
        <v>22</v>
      </c>
      <c r="D40" s="38"/>
      <c r="E40" s="38"/>
      <c r="F40" s="38"/>
      <c r="G40" s="38"/>
    </row>
    <row r="41" spans="1:8" x14ac:dyDescent="0.2">
      <c r="A41" s="38"/>
      <c r="B41" s="38"/>
      <c r="C41" s="38"/>
      <c r="D41" s="38"/>
      <c r="E41" s="38"/>
      <c r="F41" s="38"/>
      <c r="G41" s="38"/>
    </row>
    <row r="42" spans="1:8" ht="12.75" customHeight="1" x14ac:dyDescent="0.3">
      <c r="A42" s="38" t="s">
        <v>80</v>
      </c>
      <c r="B42" s="38"/>
      <c r="C42" s="38"/>
      <c r="D42" s="38"/>
      <c r="E42" s="38"/>
      <c r="F42" s="38"/>
      <c r="G42" s="38"/>
    </row>
    <row r="43" spans="1:8" x14ac:dyDescent="0.2">
      <c r="A43" s="38"/>
      <c r="B43" s="38"/>
      <c r="C43" s="109"/>
      <c r="D43" s="38"/>
      <c r="E43" s="38"/>
      <c r="F43" s="38"/>
      <c r="G43" s="38"/>
    </row>
    <row r="44" spans="1:8" ht="15.75" x14ac:dyDescent="0.3">
      <c r="A44" s="38"/>
      <c r="B44" s="38"/>
      <c r="C44" s="38" t="s">
        <v>29</v>
      </c>
      <c r="D44" s="38"/>
      <c r="E44" s="38"/>
      <c r="F44" s="38"/>
      <c r="G44" s="38"/>
    </row>
    <row r="45" spans="1:8" x14ac:dyDescent="0.2">
      <c r="A45" s="38"/>
      <c r="B45" s="38"/>
      <c r="C45" s="38" t="s">
        <v>62</v>
      </c>
      <c r="D45" s="38"/>
      <c r="E45" s="38"/>
      <c r="F45" s="38"/>
      <c r="G45" s="38"/>
    </row>
    <row r="46" spans="1:8" ht="15.75" x14ac:dyDescent="0.3">
      <c r="A46" s="38"/>
      <c r="B46" s="38"/>
      <c r="C46" s="38" t="s">
        <v>63</v>
      </c>
      <c r="D46" s="38"/>
      <c r="E46" s="38"/>
      <c r="F46" s="38"/>
      <c r="G46" s="38"/>
    </row>
    <row r="47" spans="1:8" ht="15.75" customHeight="1" x14ac:dyDescent="0.3">
      <c r="A47" s="38"/>
      <c r="B47" s="38"/>
      <c r="C47" s="38" t="s">
        <v>64</v>
      </c>
      <c r="D47" s="38"/>
      <c r="E47" s="38"/>
      <c r="F47" s="38"/>
      <c r="G47" s="38"/>
    </row>
    <row r="48" spans="1:8" x14ac:dyDescent="0.2">
      <c r="A48" s="38" t="s">
        <v>23</v>
      </c>
      <c r="B48" s="110"/>
      <c r="C48" s="26" t="s">
        <v>37</v>
      </c>
      <c r="D48" s="38"/>
      <c r="E48" s="38"/>
      <c r="F48" s="38"/>
      <c r="G48" s="38"/>
    </row>
    <row r="49" spans="1:9" ht="15.75" x14ac:dyDescent="0.3">
      <c r="A49" s="37" t="s">
        <v>70</v>
      </c>
      <c r="B49" s="38"/>
      <c r="C49" s="22">
        <v>0.65</v>
      </c>
      <c r="D49" s="38" t="s">
        <v>26</v>
      </c>
      <c r="E49" s="38"/>
      <c r="F49" s="38"/>
      <c r="G49" s="38"/>
    </row>
    <row r="50" spans="1:9" x14ac:dyDescent="0.2">
      <c r="A50" s="38" t="s">
        <v>1</v>
      </c>
      <c r="B50" s="38"/>
      <c r="C50" s="22">
        <v>0.5</v>
      </c>
      <c r="D50" s="38" t="s">
        <v>27</v>
      </c>
      <c r="E50" s="38"/>
      <c r="F50" s="38"/>
      <c r="G50" s="38"/>
    </row>
    <row r="51" spans="1:9" ht="15.75" x14ac:dyDescent="0.3">
      <c r="A51" s="37" t="s">
        <v>68</v>
      </c>
      <c r="B51" s="38"/>
      <c r="C51" s="27">
        <v>2E-3</v>
      </c>
      <c r="D51" s="38" t="s">
        <v>38</v>
      </c>
      <c r="E51" s="38"/>
      <c r="F51" s="38"/>
      <c r="G51" s="38"/>
    </row>
    <row r="52" spans="1:9" x14ac:dyDescent="0.2">
      <c r="A52" s="38"/>
      <c r="B52" s="38"/>
      <c r="C52" s="110"/>
      <c r="D52" s="38"/>
      <c r="E52" s="38"/>
      <c r="F52" s="38"/>
      <c r="G52" s="38"/>
      <c r="I52" s="181"/>
    </row>
    <row r="53" spans="1:9" ht="14.25" x14ac:dyDescent="0.25">
      <c r="A53" s="39" t="s">
        <v>54</v>
      </c>
      <c r="B53" s="39"/>
      <c r="C53" s="87">
        <f>IF(C48="p",24*0.18*($C$49*$C$50)^(1/3),0.055*$C$50/SQRT($C$51))</f>
        <v>2.9701487528801449</v>
      </c>
      <c r="D53" s="39" t="s">
        <v>25</v>
      </c>
      <c r="E53" s="38"/>
      <c r="F53" s="38"/>
      <c r="G53" s="38"/>
      <c r="I53" s="181"/>
    </row>
    <row r="54" spans="1:9" ht="13.5" customHeight="1" x14ac:dyDescent="0.2">
      <c r="B54" s="49"/>
      <c r="C54" s="111"/>
      <c r="D54" s="111"/>
      <c r="E54" s="109"/>
      <c r="F54" s="111"/>
      <c r="G54" s="109"/>
      <c r="I54" s="181"/>
    </row>
    <row r="55" spans="1:9" ht="24" customHeight="1" x14ac:dyDescent="0.2">
      <c r="A55" s="115" t="s">
        <v>102</v>
      </c>
      <c r="B55" s="112"/>
      <c r="C55" s="112"/>
      <c r="D55" s="112"/>
      <c r="E55" s="112"/>
      <c r="F55" s="112"/>
      <c r="G55" s="112"/>
    </row>
    <row r="56" spans="1:9" ht="13.15" customHeight="1" x14ac:dyDescent="0.2">
      <c r="A56" s="182" t="s">
        <v>103</v>
      </c>
      <c r="B56" s="182"/>
      <c r="C56" s="182"/>
      <c r="D56" s="182"/>
      <c r="E56" s="182"/>
      <c r="F56" s="182"/>
      <c r="G56" s="182"/>
    </row>
    <row r="57" spans="1:9" ht="13.15" customHeight="1" x14ac:dyDescent="0.2">
      <c r="A57" s="112"/>
      <c r="B57" s="112"/>
      <c r="C57" s="112"/>
      <c r="D57" s="112"/>
      <c r="E57" s="112"/>
      <c r="F57" s="112"/>
      <c r="G57" s="112"/>
      <c r="H57" s="3"/>
      <c r="I57" s="3"/>
    </row>
    <row r="58" spans="1:9" ht="13.15" customHeight="1" x14ac:dyDescent="0.2">
      <c r="A58" s="112"/>
      <c r="B58" s="112"/>
      <c r="C58" s="112"/>
      <c r="D58" s="112"/>
      <c r="E58" s="112"/>
      <c r="F58" s="112"/>
      <c r="G58" s="112"/>
      <c r="H58" s="3"/>
      <c r="I58" s="3"/>
    </row>
    <row r="59" spans="1:9" ht="21.75" customHeight="1" x14ac:dyDescent="0.2">
      <c r="A59" s="37" t="s">
        <v>18</v>
      </c>
      <c r="B59" s="49"/>
      <c r="C59" s="38"/>
      <c r="D59" s="38"/>
      <c r="E59" s="38"/>
      <c r="F59" s="38"/>
      <c r="G59" s="38"/>
      <c r="H59" s="3"/>
      <c r="I59" s="3"/>
    </row>
    <row r="60" spans="1:9" ht="13.15" customHeight="1" x14ac:dyDescent="0.2">
      <c r="A60" s="38"/>
      <c r="B60" s="49"/>
      <c r="C60" s="38"/>
      <c r="D60" s="38"/>
      <c r="E60" s="38"/>
      <c r="F60" s="38"/>
      <c r="G60" s="38"/>
      <c r="H60" s="3"/>
      <c r="I60" s="3"/>
    </row>
    <row r="61" spans="1:9" ht="13.15" customHeight="1" x14ac:dyDescent="0.3">
      <c r="A61" s="37" t="s">
        <v>111</v>
      </c>
      <c r="B61" s="49"/>
      <c r="C61" s="38"/>
      <c r="D61" s="38"/>
      <c r="E61" s="38"/>
      <c r="F61" s="38"/>
      <c r="G61" s="38"/>
      <c r="H61" s="3"/>
      <c r="I61" s="3"/>
    </row>
    <row r="62" spans="1:9" ht="13.15" customHeight="1" x14ac:dyDescent="0.3">
      <c r="A62" s="37" t="s">
        <v>112</v>
      </c>
      <c r="B62" s="49"/>
      <c r="C62" s="38"/>
      <c r="D62" s="38"/>
      <c r="E62" s="38"/>
      <c r="F62" s="38"/>
      <c r="G62" s="38"/>
      <c r="H62" s="3"/>
      <c r="I62" s="3"/>
    </row>
    <row r="63" spans="1:9" ht="13.15" customHeight="1" x14ac:dyDescent="0.2">
      <c r="A63" s="37" t="s">
        <v>55</v>
      </c>
      <c r="B63" s="49"/>
      <c r="C63" s="38"/>
      <c r="D63" s="38"/>
      <c r="E63" s="38"/>
      <c r="F63" s="38"/>
      <c r="G63" s="38"/>
    </row>
    <row r="64" spans="1:9" ht="13.15" customHeight="1" x14ac:dyDescent="0.2">
      <c r="A64" s="37" t="s">
        <v>61</v>
      </c>
      <c r="B64" s="49"/>
      <c r="C64" s="38"/>
      <c r="D64" s="38"/>
      <c r="E64" s="38"/>
      <c r="F64" s="38"/>
      <c r="G64" s="38"/>
    </row>
    <row r="65" spans="1:7" ht="13.15" customHeight="1" x14ac:dyDescent="0.2">
      <c r="A65" s="37" t="s">
        <v>56</v>
      </c>
      <c r="B65" s="49"/>
      <c r="C65" s="38"/>
      <c r="D65" s="38"/>
      <c r="E65" s="38"/>
      <c r="F65" s="38"/>
      <c r="G65" s="38"/>
    </row>
    <row r="66" spans="1:7" ht="13.15" customHeight="1" x14ac:dyDescent="0.2">
      <c r="A66" s="38"/>
      <c r="B66" s="49"/>
      <c r="C66" s="38"/>
      <c r="D66" s="38"/>
      <c r="E66" s="38"/>
      <c r="F66" s="38"/>
      <c r="G66" s="38"/>
    </row>
    <row r="67" spans="1:7" ht="13.15" customHeight="1" x14ac:dyDescent="0.2">
      <c r="A67" s="37" t="s">
        <v>104</v>
      </c>
      <c r="B67" s="49"/>
      <c r="C67" s="38"/>
      <c r="D67" s="38"/>
      <c r="E67" s="38"/>
      <c r="F67" s="38"/>
      <c r="G67" s="38"/>
    </row>
    <row r="68" spans="1:7" ht="13.15" customHeight="1" x14ac:dyDescent="0.2">
      <c r="A68" s="38"/>
      <c r="B68" s="49"/>
      <c r="C68" s="38"/>
      <c r="D68" s="38"/>
      <c r="E68" s="38"/>
      <c r="F68" s="38"/>
      <c r="G68" s="38"/>
    </row>
    <row r="69" spans="1:7" ht="13.15" customHeight="1" x14ac:dyDescent="0.2">
      <c r="A69" s="37"/>
      <c r="B69" s="49"/>
      <c r="C69" s="38"/>
      <c r="D69" s="38"/>
      <c r="E69" s="38"/>
      <c r="F69" s="38"/>
      <c r="G69" s="38"/>
    </row>
    <row r="70" spans="1:7" ht="15.75" customHeight="1" x14ac:dyDescent="0.2">
      <c r="A70" s="37"/>
      <c r="B70" s="49"/>
      <c r="C70" s="38"/>
      <c r="D70" s="38"/>
      <c r="E70" s="38"/>
      <c r="F70" s="38"/>
      <c r="G70" s="38"/>
    </row>
    <row r="71" spans="1:7" ht="16.5" customHeight="1" x14ac:dyDescent="0.2">
      <c r="A71" s="37"/>
      <c r="B71" s="49"/>
      <c r="C71" s="38"/>
      <c r="D71" s="38"/>
      <c r="E71" s="38"/>
      <c r="F71" s="38"/>
      <c r="G71" s="38"/>
    </row>
    <row r="72" spans="1:7" ht="16.5" customHeight="1" x14ac:dyDescent="0.2">
      <c r="A72" s="37"/>
      <c r="B72" s="49"/>
      <c r="C72" s="38"/>
      <c r="D72" s="38"/>
      <c r="E72" s="38"/>
      <c r="F72" s="38"/>
      <c r="G72" s="38"/>
    </row>
    <row r="73" spans="1:7" ht="16.5" customHeight="1" x14ac:dyDescent="0.2">
      <c r="A73" s="37"/>
      <c r="B73" s="49"/>
      <c r="C73" s="38"/>
      <c r="D73" s="38"/>
      <c r="E73" s="38"/>
      <c r="F73" s="38"/>
      <c r="G73" s="38"/>
    </row>
    <row r="74" spans="1:7" ht="16.5" customHeight="1" x14ac:dyDescent="0.2">
      <c r="A74" s="37"/>
      <c r="B74" s="49"/>
      <c r="C74" s="38"/>
      <c r="D74" s="38"/>
      <c r="E74" s="38"/>
      <c r="F74" s="38"/>
      <c r="G74" s="38"/>
    </row>
    <row r="75" spans="1:7" ht="16.5" customHeight="1" x14ac:dyDescent="0.2">
      <c r="A75" s="37"/>
      <c r="B75" s="49"/>
      <c r="C75" s="38"/>
      <c r="D75" s="38"/>
      <c r="E75" s="38"/>
      <c r="F75" s="38"/>
      <c r="G75" s="38"/>
    </row>
    <row r="76" spans="1:7" ht="16.5" customHeight="1" x14ac:dyDescent="0.2">
      <c r="A76" s="37"/>
      <c r="B76" s="49"/>
      <c r="C76" s="38"/>
      <c r="D76" s="38"/>
      <c r="E76" s="38"/>
      <c r="F76" s="38"/>
      <c r="G76" s="38"/>
    </row>
    <row r="77" spans="1:7" ht="16.5" customHeight="1" x14ac:dyDescent="0.2">
      <c r="A77" s="37"/>
      <c r="B77" s="49"/>
      <c r="C77" s="38"/>
      <c r="D77" s="38"/>
      <c r="E77" s="38"/>
      <c r="F77" s="38"/>
      <c r="G77" s="38"/>
    </row>
    <row r="78" spans="1:7" ht="16.5" customHeight="1" x14ac:dyDescent="0.2">
      <c r="A78" s="37" t="s">
        <v>109</v>
      </c>
      <c r="B78" s="49"/>
      <c r="C78" s="38"/>
      <c r="D78" s="38"/>
      <c r="E78" s="38"/>
      <c r="F78" s="38"/>
      <c r="G78" s="38"/>
    </row>
    <row r="79" spans="1:7" ht="13.15" customHeight="1" x14ac:dyDescent="0.2">
      <c r="A79" s="37"/>
      <c r="B79" s="49"/>
      <c r="C79" s="38"/>
      <c r="D79" s="38"/>
      <c r="E79" s="38"/>
      <c r="F79" s="38"/>
      <c r="G79" s="38"/>
    </row>
    <row r="80" spans="1:7" ht="13.15" customHeight="1" x14ac:dyDescent="0.25">
      <c r="A80" s="20"/>
      <c r="B80" s="124" t="s">
        <v>106</v>
      </c>
      <c r="C80" s="124" t="s">
        <v>107</v>
      </c>
      <c r="D80" s="125" t="s">
        <v>119</v>
      </c>
      <c r="E80" s="125" t="s">
        <v>120</v>
      </c>
      <c r="F80" s="38"/>
    </row>
    <row r="81" spans="1:9" ht="13.15" customHeight="1" x14ac:dyDescent="0.2">
      <c r="A81" s="126" t="s">
        <v>118</v>
      </c>
      <c r="B81" s="122">
        <v>35</v>
      </c>
      <c r="C81" s="123">
        <v>0.33</v>
      </c>
      <c r="D81" s="121">
        <f>B81*$C$53^C81</f>
        <v>50.128516290595954</v>
      </c>
      <c r="E81" s="132">
        <f>D81/$C$53</f>
        <v>16.877443004154749</v>
      </c>
      <c r="F81" s="38"/>
      <c r="G81" s="38"/>
    </row>
    <row r="82" spans="1:9" ht="13.15" customHeight="1" x14ac:dyDescent="0.2">
      <c r="A82" s="126" t="s">
        <v>105</v>
      </c>
      <c r="B82" s="122">
        <v>51</v>
      </c>
      <c r="C82" s="123">
        <v>0.28999999999999998</v>
      </c>
      <c r="D82" s="121">
        <f>B82*$C$53^C82</f>
        <v>69.93198475716396</v>
      </c>
      <c r="E82" s="132">
        <f>D82/$C$53</f>
        <v>23.544943561951605</v>
      </c>
      <c r="F82" s="113"/>
      <c r="G82" s="114"/>
    </row>
    <row r="83" spans="1:9" ht="14.25" customHeight="1" x14ac:dyDescent="0.2">
      <c r="A83" s="126" t="s">
        <v>117</v>
      </c>
      <c r="B83" s="122">
        <v>58</v>
      </c>
      <c r="C83" s="123">
        <v>0.28999999999999998</v>
      </c>
      <c r="D83" s="121">
        <f>B83*$C$53^C83</f>
        <v>79.53049246893157</v>
      </c>
      <c r="E83" s="132">
        <f>D83/$C$53</f>
        <v>26.776602482219477</v>
      </c>
      <c r="F83" s="49"/>
      <c r="G83" s="87"/>
    </row>
    <row r="84" spans="1:9" ht="14.25" customHeight="1" x14ac:dyDescent="0.2">
      <c r="A84" s="127" t="s">
        <v>108</v>
      </c>
      <c r="B84" s="122">
        <v>74</v>
      </c>
      <c r="C84" s="123">
        <v>0.28999999999999998</v>
      </c>
      <c r="D84" s="121">
        <f>B84*$C$53^C84</f>
        <v>101.46993866725752</v>
      </c>
      <c r="E84" s="132">
        <f>D84/$C$53</f>
        <v>34.163251442831744</v>
      </c>
      <c r="F84" s="49"/>
      <c r="G84" s="87"/>
    </row>
    <row r="85" spans="1:9" ht="29.25" customHeight="1" x14ac:dyDescent="0.25">
      <c r="A85" s="39" t="s">
        <v>110</v>
      </c>
      <c r="B85" s="38"/>
      <c r="C85" s="38"/>
      <c r="D85" s="38"/>
      <c r="E85" s="38"/>
      <c r="F85" s="38"/>
      <c r="G85" s="38"/>
      <c r="H85" s="6"/>
      <c r="I85" s="7"/>
    </row>
    <row r="86" spans="1:9" ht="22.5" customHeight="1" x14ac:dyDescent="0.2">
      <c r="A86" s="38"/>
      <c r="B86" s="38"/>
      <c r="C86" s="38"/>
      <c r="D86" s="38"/>
      <c r="E86" s="38"/>
      <c r="F86" s="38"/>
      <c r="G86" s="38"/>
    </row>
    <row r="87" spans="1:9" ht="17.100000000000001" customHeight="1" x14ac:dyDescent="0.2">
      <c r="A87" s="38"/>
      <c r="B87" s="38"/>
      <c r="C87" s="38"/>
      <c r="D87" s="38"/>
      <c r="E87" s="38"/>
      <c r="F87" s="38"/>
      <c r="G87" s="38"/>
    </row>
    <row r="88" spans="1:9" ht="16.5" customHeight="1" x14ac:dyDescent="0.25">
      <c r="A88" s="98" t="s">
        <v>121</v>
      </c>
      <c r="B88" s="128">
        <f>0.278*$B$33*E81*$C$49</f>
        <v>1.5248769754253817</v>
      </c>
      <c r="C88" s="98" t="s">
        <v>122</v>
      </c>
      <c r="D88" s="129"/>
      <c r="E88" s="98" t="s">
        <v>123</v>
      </c>
      <c r="F88" s="130">
        <f>B88/$C$49</f>
        <v>2.3459645775775102</v>
      </c>
      <c r="G88" s="98" t="s">
        <v>124</v>
      </c>
      <c r="I88" s="24"/>
    </row>
    <row r="89" spans="1:9" ht="16.5" customHeight="1" x14ac:dyDescent="0.25">
      <c r="A89" s="98" t="s">
        <v>125</v>
      </c>
      <c r="B89" s="128">
        <f>0.278*$B$33*E82*$C$49</f>
        <v>2.1272856508223277</v>
      </c>
      <c r="C89" s="98" t="s">
        <v>122</v>
      </c>
      <c r="D89" s="131"/>
      <c r="E89" s="98" t="s">
        <v>126</v>
      </c>
      <c r="F89" s="130">
        <f>B89/$C$49</f>
        <v>3.2727471551112735</v>
      </c>
      <c r="G89" s="98" t="s">
        <v>124</v>
      </c>
      <c r="I89" s="24"/>
    </row>
    <row r="90" spans="1:9" ht="13.15" customHeight="1" x14ac:dyDescent="0.25">
      <c r="A90" s="98" t="s">
        <v>127</v>
      </c>
      <c r="B90" s="128">
        <f>0.278*$B$33*E83*$C$49</f>
        <v>2.4192660342685302</v>
      </c>
      <c r="C90" s="98" t="s">
        <v>122</v>
      </c>
      <c r="D90" s="131"/>
      <c r="E90" s="98" t="s">
        <v>128</v>
      </c>
      <c r="F90" s="130">
        <f>B90/$C$49</f>
        <v>3.7219477450285079</v>
      </c>
      <c r="G90" s="98" t="s">
        <v>124</v>
      </c>
    </row>
    <row r="91" spans="1:9" ht="14.25" customHeight="1" x14ac:dyDescent="0.25">
      <c r="A91" s="98" t="s">
        <v>129</v>
      </c>
      <c r="B91" s="128">
        <f>0.278*$B$33*E84*$C$49</f>
        <v>3.0866497678598486</v>
      </c>
      <c r="C91" s="98" t="s">
        <v>122</v>
      </c>
      <c r="D91" s="131"/>
      <c r="E91" s="98" t="s">
        <v>130</v>
      </c>
      <c r="F91" s="130">
        <f>B91/$C$49</f>
        <v>4.7486919505536127</v>
      </c>
      <c r="G91" s="98" t="s">
        <v>124</v>
      </c>
    </row>
    <row r="92" spans="1:9" ht="26.25" customHeight="1" x14ac:dyDescent="0.2">
      <c r="A92" s="108"/>
      <c r="B92" s="108"/>
      <c r="C92" s="108"/>
      <c r="D92" s="108"/>
      <c r="E92" s="108"/>
      <c r="F92" s="108"/>
      <c r="G92" s="108"/>
    </row>
    <row r="93" spans="1:9" ht="12.75" customHeight="1" x14ac:dyDescent="0.2">
      <c r="A93" s="39" t="s">
        <v>113</v>
      </c>
      <c r="B93" s="38"/>
      <c r="C93" s="38"/>
      <c r="D93" s="38"/>
      <c r="E93" s="38"/>
      <c r="F93" s="38"/>
      <c r="G93" s="38"/>
    </row>
    <row r="94" spans="1:9" ht="18" customHeight="1" x14ac:dyDescent="0.3">
      <c r="A94" s="37" t="s">
        <v>57</v>
      </c>
      <c r="B94" s="25">
        <v>0.25</v>
      </c>
      <c r="C94" s="37" t="s">
        <v>58</v>
      </c>
      <c r="D94" s="37" t="s">
        <v>43</v>
      </c>
      <c r="E94" s="38"/>
      <c r="F94" s="38"/>
      <c r="G94" s="38"/>
    </row>
    <row r="95" spans="1:9" ht="12.6" customHeight="1" x14ac:dyDescent="0.2">
      <c r="A95" s="38"/>
      <c r="B95" s="38"/>
      <c r="C95" s="38"/>
      <c r="D95" s="38"/>
      <c r="E95" s="38"/>
      <c r="F95" s="38"/>
      <c r="G95" s="38"/>
    </row>
    <row r="96" spans="1:9" ht="17.100000000000001" customHeight="1" x14ac:dyDescent="0.25">
      <c r="A96" s="39" t="s">
        <v>165</v>
      </c>
      <c r="B96" s="173">
        <f>F88*$B$94</f>
        <v>0.58649114439437755</v>
      </c>
      <c r="C96" s="39" t="s">
        <v>30</v>
      </c>
      <c r="D96" s="1"/>
      <c r="E96" s="39"/>
      <c r="F96" s="39"/>
      <c r="G96" s="39"/>
    </row>
    <row r="97" spans="1:7" ht="17.100000000000001" customHeight="1" x14ac:dyDescent="0.25">
      <c r="A97" s="134" t="s">
        <v>59</v>
      </c>
      <c r="B97" s="137">
        <f>F89*$B$94</f>
        <v>0.81818678877781836</v>
      </c>
      <c r="C97" s="134" t="s">
        <v>30</v>
      </c>
      <c r="D97" s="136"/>
      <c r="E97" s="134"/>
      <c r="F97" s="134"/>
      <c r="G97" s="134"/>
    </row>
    <row r="98" spans="1:7" ht="17.100000000000001" customHeight="1" x14ac:dyDescent="0.25">
      <c r="A98" s="134" t="s">
        <v>134</v>
      </c>
      <c r="B98" s="137">
        <f>F90*$B$94</f>
        <v>0.93048693625712697</v>
      </c>
      <c r="C98" s="134" t="s">
        <v>30</v>
      </c>
      <c r="D98" s="135"/>
      <c r="E98" s="135"/>
      <c r="F98" s="135"/>
      <c r="G98" s="135"/>
    </row>
    <row r="99" spans="1:7" ht="17.100000000000001" customHeight="1" x14ac:dyDescent="0.25">
      <c r="A99" s="134" t="s">
        <v>60</v>
      </c>
      <c r="B99" s="137">
        <f>F91*$B$94</f>
        <v>1.1871729876384032</v>
      </c>
      <c r="C99" s="134" t="s">
        <v>30</v>
      </c>
    </row>
  </sheetData>
  <mergeCells count="3">
    <mergeCell ref="A3:G3"/>
    <mergeCell ref="I52:I54"/>
    <mergeCell ref="A56:G56"/>
  </mergeCells>
  <printOptions horizontalCentered="1" verticalCentered="1"/>
  <pageMargins left="0.78740157480314965" right="0.78740157480314965" top="0.59055118110236227" bottom="0.59055118110236227" header="0.19685039370078741" footer="0.19685039370078741"/>
  <pageSetup paperSize="9" scale="97" fitToHeight="2" orientation="portrait" horizontalDpi="4294967293" verticalDpi="300" r:id="rId1"/>
  <headerFooter alignWithMargins="0"/>
  <rowBreaks count="1" manualBreakCount="1">
    <brk id="54" max="6" man="1"/>
  </rowBreaks>
  <drawing r:id="rId2"/>
  <legacyDrawing r:id="rId3"/>
  <oleObjects>
    <mc:AlternateContent xmlns:mc="http://schemas.openxmlformats.org/markup-compatibility/2006">
      <mc:Choice Requires="x14">
        <oleObject progId="Equation.3" shapeId="53249" r:id="rId4">
          <objectPr defaultSize="0" autoPict="0" r:id="rId5">
            <anchor moveWithCells="1">
              <from>
                <xdr:col>0</xdr:col>
                <xdr:colOff>57150</xdr:colOff>
                <xdr:row>36</xdr:row>
                <xdr:rowOff>142875</xdr:rowOff>
              </from>
              <to>
                <xdr:col>1</xdr:col>
                <xdr:colOff>142875</xdr:colOff>
                <xdr:row>39</xdr:row>
                <xdr:rowOff>133350</xdr:rowOff>
              </to>
            </anchor>
          </objectPr>
        </oleObject>
      </mc:Choice>
      <mc:Fallback>
        <oleObject progId="Equation.3" shapeId="53249" r:id="rId4"/>
      </mc:Fallback>
    </mc:AlternateContent>
    <mc:AlternateContent xmlns:mc="http://schemas.openxmlformats.org/markup-compatibility/2006">
      <mc:Choice Requires="x14">
        <oleObject progId="Equation.3" shapeId="53253" r:id="rId6">
          <objectPr defaultSize="0" autoPict="0" r:id="rId7">
            <anchor moveWithCells="1">
              <from>
                <xdr:col>0</xdr:col>
                <xdr:colOff>1000125</xdr:colOff>
                <xdr:row>6</xdr:row>
                <xdr:rowOff>76200</xdr:rowOff>
              </from>
              <to>
                <xdr:col>2</xdr:col>
                <xdr:colOff>428625</xdr:colOff>
                <xdr:row>7</xdr:row>
                <xdr:rowOff>123825</xdr:rowOff>
              </to>
            </anchor>
          </objectPr>
        </oleObject>
      </mc:Choice>
      <mc:Fallback>
        <oleObject progId="Equation.3" shapeId="53253" r:id="rId6"/>
      </mc:Fallback>
    </mc:AlternateContent>
    <mc:AlternateContent xmlns:mc="http://schemas.openxmlformats.org/markup-compatibility/2006">
      <mc:Choice Requires="x14">
        <oleObject progId="Equation.3" shapeId="53324" r:id="rId8">
          <objectPr defaultSize="0" autoPict="0" r:id="rId9">
            <anchor moveWithCells="1">
              <from>
                <xdr:col>0</xdr:col>
                <xdr:colOff>104775</xdr:colOff>
                <xdr:row>85</xdr:row>
                <xdr:rowOff>66675</xdr:rowOff>
              </from>
              <to>
                <xdr:col>1</xdr:col>
                <xdr:colOff>123825</xdr:colOff>
                <xdr:row>86</xdr:row>
                <xdr:rowOff>47625</xdr:rowOff>
              </to>
            </anchor>
          </objectPr>
        </oleObject>
      </mc:Choice>
      <mc:Fallback>
        <oleObject progId="Equation.3" shapeId="53324" r:id="rId8"/>
      </mc:Fallback>
    </mc:AlternateContent>
    <mc:AlternateContent xmlns:mc="http://schemas.openxmlformats.org/markup-compatibility/2006">
      <mc:Choice Requires="x14">
        <oleObject progId="Equation.3" shapeId="53325" r:id="rId10">
          <objectPr defaultSize="0" autoPict="0" r:id="rId11">
            <anchor moveWithCells="1">
              <from>
                <xdr:col>0</xdr:col>
                <xdr:colOff>95250</xdr:colOff>
                <xdr:row>56</xdr:row>
                <xdr:rowOff>142875</xdr:rowOff>
              </from>
              <to>
                <xdr:col>1</xdr:col>
                <xdr:colOff>600075</xdr:colOff>
                <xdr:row>58</xdr:row>
                <xdr:rowOff>85725</xdr:rowOff>
              </to>
            </anchor>
          </objectPr>
        </oleObject>
      </mc:Choice>
      <mc:Fallback>
        <oleObject progId="Equation.3" shapeId="53325" r:id="rId10"/>
      </mc:Fallback>
    </mc:AlternateContent>
    <mc:AlternateContent xmlns:mc="http://schemas.openxmlformats.org/markup-compatibility/2006">
      <mc:Choice Requires="x14">
        <oleObject progId="Equation.3" shapeId="53326" r:id="rId12">
          <objectPr defaultSize="0" autoPict="0" r:id="rId13">
            <anchor moveWithCells="1">
              <from>
                <xdr:col>2</xdr:col>
                <xdr:colOff>171450</xdr:colOff>
                <xdr:row>56</xdr:row>
                <xdr:rowOff>142875</xdr:rowOff>
              </from>
              <to>
                <xdr:col>4</xdr:col>
                <xdr:colOff>228600</xdr:colOff>
                <xdr:row>58</xdr:row>
                <xdr:rowOff>85725</xdr:rowOff>
              </to>
            </anchor>
          </objectPr>
        </oleObject>
      </mc:Choice>
      <mc:Fallback>
        <oleObject progId="Equation.3" shapeId="53326" r:id="rId12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1111">
    <pageSetUpPr fitToPage="1"/>
  </sheetPr>
  <dimension ref="A1:S49"/>
  <sheetViews>
    <sheetView showGridLines="0" view="pageBreakPreview" topLeftCell="A34" zoomScaleNormal="100" zoomScaleSheetLayoutView="100" workbookViewId="0">
      <selection activeCell="H42" sqref="H42"/>
    </sheetView>
  </sheetViews>
  <sheetFormatPr defaultColWidth="9.140625" defaultRowHeight="12.75" x14ac:dyDescent="0.2"/>
  <cols>
    <col min="1" max="1" width="7.7109375" style="11" customWidth="1"/>
    <col min="2" max="2" width="9.140625" style="11"/>
    <col min="3" max="3" width="9.5703125" style="11" customWidth="1"/>
    <col min="4" max="4" width="9.140625" style="11"/>
    <col min="5" max="5" width="9.5703125" style="11" customWidth="1"/>
    <col min="6" max="7" width="9.140625" style="11"/>
    <col min="8" max="8" width="5" style="11" customWidth="1"/>
    <col min="9" max="9" width="6" style="11" customWidth="1"/>
    <col min="10" max="10" width="4" style="11" customWidth="1"/>
    <col min="11" max="11" width="9.140625" style="11" customWidth="1"/>
    <col min="12" max="12" width="9.140625" style="11" hidden="1" customWidth="1"/>
    <col min="13" max="13" width="75.5703125" style="11" hidden="1" customWidth="1"/>
    <col min="14" max="19" width="9.140625" style="11" hidden="1" customWidth="1"/>
    <col min="20" max="20" width="9.140625" style="11" customWidth="1"/>
    <col min="21" max="16384" width="9.140625" style="11"/>
  </cols>
  <sheetData>
    <row r="1" spans="1:18" ht="59.25" customHeight="1" x14ac:dyDescent="0.2"/>
    <row r="2" spans="1:18" ht="19.5" customHeight="1" x14ac:dyDescent="0.2">
      <c r="A2" s="29"/>
      <c r="B2" s="29"/>
      <c r="C2" s="29"/>
      <c r="D2" s="29"/>
      <c r="E2" s="29"/>
      <c r="F2" s="29"/>
      <c r="G2" s="120" t="s">
        <v>116</v>
      </c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18.75" x14ac:dyDescent="0.35">
      <c r="A3" s="180" t="s">
        <v>72</v>
      </c>
      <c r="B3" s="180"/>
      <c r="C3" s="180"/>
      <c r="D3" s="180"/>
      <c r="E3" s="180"/>
      <c r="F3" s="180"/>
      <c r="G3" s="180"/>
      <c r="H3" s="31"/>
      <c r="I3" s="31"/>
      <c r="J3" s="31"/>
      <c r="K3" s="29"/>
      <c r="L3" s="29"/>
      <c r="M3" s="29"/>
      <c r="N3" s="29"/>
      <c r="O3" s="29"/>
      <c r="P3" s="29"/>
      <c r="Q3" s="29"/>
      <c r="R3" s="29"/>
    </row>
    <row r="4" spans="1:18" ht="15" x14ac:dyDescent="0.25">
      <c r="A4" s="116" t="s">
        <v>96</v>
      </c>
      <c r="B4" s="116"/>
      <c r="D4" s="118"/>
      <c r="E4" s="116"/>
      <c r="F4" s="116"/>
      <c r="G4" s="116"/>
      <c r="H4" s="116"/>
      <c r="I4" s="116"/>
      <c r="J4" s="31"/>
      <c r="K4" s="29"/>
      <c r="L4" s="29"/>
      <c r="M4" s="29"/>
      <c r="N4" s="29"/>
      <c r="O4" s="29"/>
      <c r="P4" s="29"/>
      <c r="Q4" s="29"/>
      <c r="R4" s="29"/>
    </row>
    <row r="5" spans="1:18" x14ac:dyDescent="0.2">
      <c r="A5" s="29"/>
      <c r="B5" s="33"/>
      <c r="C5" s="34"/>
      <c r="D5" s="34"/>
      <c r="E5" s="34"/>
      <c r="F5" s="34"/>
      <c r="G5" s="34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</row>
    <row r="6" spans="1:18" x14ac:dyDescent="0.2"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57" t="s">
        <v>45</v>
      </c>
      <c r="N6" s="57"/>
      <c r="O6" s="57"/>
      <c r="P6" s="58" t="s">
        <v>46</v>
      </c>
      <c r="Q6" s="29"/>
      <c r="R6" s="31" t="s">
        <v>44</v>
      </c>
    </row>
    <row r="7" spans="1:18" ht="14.25" x14ac:dyDescent="0.2">
      <c r="A7" s="35" t="s">
        <v>71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57"/>
      <c r="N7" s="57"/>
      <c r="O7" s="57"/>
      <c r="P7" s="58"/>
      <c r="Q7" s="29"/>
      <c r="R7" s="31"/>
    </row>
    <row r="8" spans="1:18" x14ac:dyDescent="0.2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>
        <v>1</v>
      </c>
      <c r="M8" s="29" t="s">
        <v>47</v>
      </c>
      <c r="N8" s="29"/>
      <c r="O8" s="29"/>
      <c r="P8" s="59">
        <v>0.36</v>
      </c>
      <c r="Q8" s="29"/>
      <c r="R8" s="60">
        <v>5</v>
      </c>
    </row>
    <row r="9" spans="1:18" x14ac:dyDescent="0.2">
      <c r="A9" s="36" t="s">
        <v>95</v>
      </c>
      <c r="B9" s="37"/>
      <c r="C9" s="37"/>
      <c r="D9" s="38"/>
      <c r="E9" s="38"/>
      <c r="F9" s="38"/>
      <c r="G9" s="38"/>
      <c r="H9" s="38"/>
      <c r="I9" s="38"/>
      <c r="J9" s="29"/>
      <c r="K9" s="29"/>
      <c r="L9" s="29">
        <v>2</v>
      </c>
      <c r="M9" s="29" t="s">
        <v>48</v>
      </c>
      <c r="N9" s="29"/>
      <c r="O9" s="29"/>
      <c r="P9" s="59">
        <v>0.46</v>
      </c>
      <c r="Q9" s="29"/>
      <c r="R9" s="29"/>
    </row>
    <row r="10" spans="1:18" x14ac:dyDescent="0.2">
      <c r="A10" s="37"/>
      <c r="B10" s="37"/>
      <c r="C10" s="37"/>
      <c r="D10" s="38"/>
      <c r="E10" s="38"/>
      <c r="F10" s="38"/>
      <c r="G10" s="38"/>
      <c r="H10" s="38"/>
      <c r="I10" s="38"/>
      <c r="J10" s="29"/>
      <c r="K10" s="29"/>
      <c r="L10" s="29">
        <v>3</v>
      </c>
      <c r="M10" s="29" t="s">
        <v>49</v>
      </c>
      <c r="N10" s="29"/>
      <c r="O10" s="29"/>
      <c r="P10" s="59">
        <v>0.85</v>
      </c>
      <c r="Q10" s="29"/>
      <c r="R10" s="29"/>
    </row>
    <row r="11" spans="1:18" x14ac:dyDescent="0.2">
      <c r="A11" s="39"/>
      <c r="B11" s="39"/>
      <c r="C11" s="39"/>
      <c r="D11" s="38"/>
      <c r="E11" s="38"/>
      <c r="F11" s="38"/>
      <c r="G11" s="38"/>
      <c r="H11" s="38"/>
      <c r="I11" s="38"/>
      <c r="J11" s="29"/>
      <c r="K11" s="29"/>
      <c r="L11" s="29">
        <v>4</v>
      </c>
      <c r="M11" s="29" t="s">
        <v>50</v>
      </c>
      <c r="N11" s="29"/>
      <c r="O11" s="29"/>
      <c r="P11" s="59">
        <v>1</v>
      </c>
      <c r="Q11" s="29"/>
      <c r="R11" s="29"/>
    </row>
    <row r="12" spans="1:18" x14ac:dyDescent="0.2">
      <c r="A12" s="39"/>
      <c r="B12" s="39"/>
      <c r="C12" s="39"/>
      <c r="D12" s="38"/>
      <c r="E12" s="38"/>
      <c r="F12" s="38"/>
      <c r="G12" s="38"/>
      <c r="H12" s="38"/>
      <c r="I12" s="38"/>
      <c r="J12" s="29"/>
      <c r="K12" s="29"/>
      <c r="L12" s="29">
        <v>5</v>
      </c>
      <c r="M12" s="29" t="s">
        <v>51</v>
      </c>
      <c r="N12" s="29"/>
      <c r="O12" s="29"/>
      <c r="P12" s="59">
        <v>1.3</v>
      </c>
      <c r="Q12" s="29"/>
      <c r="R12" s="29"/>
    </row>
    <row r="13" spans="1:18" x14ac:dyDescent="0.2">
      <c r="A13" s="39"/>
      <c r="B13" s="39"/>
      <c r="C13" s="39"/>
      <c r="D13" s="38"/>
      <c r="E13" s="38"/>
      <c r="F13" s="38"/>
      <c r="G13" s="38"/>
      <c r="H13" s="38"/>
      <c r="I13" s="38"/>
      <c r="J13" s="29"/>
      <c r="K13" s="29"/>
      <c r="L13" s="29">
        <v>6</v>
      </c>
      <c r="M13" s="29" t="s">
        <v>52</v>
      </c>
      <c r="N13" s="29"/>
      <c r="O13" s="29"/>
      <c r="P13" s="59">
        <v>1.75</v>
      </c>
      <c r="Q13" s="29"/>
      <c r="R13" s="29"/>
    </row>
    <row r="14" spans="1:18" x14ac:dyDescent="0.2">
      <c r="A14" s="39"/>
      <c r="B14" s="39"/>
      <c r="C14" s="39"/>
      <c r="D14" s="38"/>
      <c r="E14" s="38"/>
      <c r="F14" s="38"/>
      <c r="G14" s="38"/>
      <c r="H14" s="38"/>
      <c r="I14" s="38"/>
      <c r="J14" s="29"/>
      <c r="K14" s="29"/>
      <c r="L14" s="29">
        <v>7</v>
      </c>
      <c r="M14" s="29" t="s">
        <v>53</v>
      </c>
      <c r="N14" s="29"/>
      <c r="O14" s="29"/>
      <c r="P14" s="59">
        <v>2.2999999999999998</v>
      </c>
      <c r="Q14" s="29"/>
      <c r="R14" s="29"/>
    </row>
    <row r="15" spans="1:18" x14ac:dyDescent="0.2">
      <c r="A15" s="37"/>
      <c r="B15" s="37"/>
      <c r="C15" s="37"/>
      <c r="D15" s="38"/>
      <c r="E15" s="38"/>
      <c r="F15" s="38"/>
      <c r="G15" s="38"/>
      <c r="H15" s="38"/>
      <c r="I15" s="38"/>
      <c r="J15" s="29"/>
      <c r="K15" s="29"/>
      <c r="L15" s="29"/>
      <c r="M15" s="29"/>
      <c r="N15" s="29"/>
      <c r="O15" s="29"/>
      <c r="P15" s="29"/>
      <c r="Q15" s="29"/>
      <c r="R15" s="29"/>
    </row>
    <row r="16" spans="1:18" x14ac:dyDescent="0.2">
      <c r="A16" s="37"/>
      <c r="B16" s="37"/>
      <c r="C16" s="37"/>
      <c r="D16" s="38"/>
      <c r="E16" s="38"/>
      <c r="F16" s="38"/>
      <c r="G16" s="38"/>
      <c r="H16" s="38"/>
      <c r="I16" s="38"/>
    </row>
    <row r="17" spans="1:9" x14ac:dyDescent="0.2">
      <c r="A17" s="37" t="s">
        <v>31</v>
      </c>
      <c r="B17" s="37"/>
      <c r="C17" s="37"/>
      <c r="D17" s="38"/>
      <c r="E17" s="38"/>
      <c r="F17" s="38"/>
      <c r="G17" s="38"/>
      <c r="H17" s="38"/>
      <c r="I17" s="38"/>
    </row>
    <row r="18" spans="1:9" x14ac:dyDescent="0.2">
      <c r="A18" s="37" t="s">
        <v>32</v>
      </c>
      <c r="B18" s="37"/>
      <c r="C18" s="37"/>
      <c r="D18" s="38"/>
      <c r="E18" s="38"/>
      <c r="F18" s="38"/>
      <c r="G18" s="38"/>
      <c r="H18" s="38"/>
      <c r="I18" s="38"/>
    </row>
    <row r="19" spans="1:9" x14ac:dyDescent="0.2">
      <c r="A19" s="37" t="s">
        <v>4</v>
      </c>
      <c r="B19" s="37"/>
      <c r="C19" s="37"/>
      <c r="D19" s="38"/>
      <c r="E19" s="38"/>
      <c r="F19" s="38"/>
      <c r="G19" s="38"/>
      <c r="H19" s="38"/>
      <c r="I19" s="38"/>
    </row>
    <row r="20" spans="1:9" x14ac:dyDescent="0.2">
      <c r="A20" s="37" t="s">
        <v>6</v>
      </c>
      <c r="B20" s="37"/>
      <c r="C20" s="37"/>
      <c r="D20" s="38"/>
      <c r="E20" s="38"/>
      <c r="F20" s="38"/>
      <c r="G20" s="38"/>
      <c r="H20" s="38"/>
      <c r="I20" s="38"/>
    </row>
    <row r="21" spans="1:9" x14ac:dyDescent="0.2">
      <c r="A21" s="40" t="s">
        <v>81</v>
      </c>
      <c r="B21" s="29"/>
      <c r="C21" s="29"/>
      <c r="D21" s="29"/>
      <c r="E21" s="29"/>
      <c r="F21" s="29"/>
      <c r="G21" s="29"/>
      <c r="H21" s="29"/>
      <c r="I21" s="29"/>
    </row>
    <row r="22" spans="1:9" x14ac:dyDescent="0.2">
      <c r="A22" s="37" t="s">
        <v>36</v>
      </c>
      <c r="B22" s="29"/>
      <c r="C22" s="29"/>
      <c r="D22" s="29"/>
      <c r="E22" s="29"/>
      <c r="F22" s="29"/>
      <c r="G22" s="29"/>
      <c r="H22" s="29"/>
      <c r="I22" s="29"/>
    </row>
    <row r="23" spans="1:9" x14ac:dyDescent="0.2">
      <c r="A23" s="29"/>
      <c r="B23" s="29"/>
      <c r="C23" s="29"/>
      <c r="D23" s="29"/>
      <c r="E23" s="29"/>
      <c r="F23" s="29"/>
      <c r="G23" s="29"/>
      <c r="H23" s="29"/>
      <c r="I23" s="29"/>
    </row>
    <row r="24" spans="1:9" x14ac:dyDescent="0.2">
      <c r="A24" s="41" t="s">
        <v>1</v>
      </c>
      <c r="B24" s="42">
        <v>5</v>
      </c>
      <c r="C24" s="37" t="s">
        <v>24</v>
      </c>
      <c r="D24" s="29"/>
      <c r="E24" s="29"/>
      <c r="F24" s="29"/>
      <c r="G24" s="29"/>
      <c r="H24" s="29"/>
      <c r="I24" s="29"/>
    </row>
    <row r="25" spans="1:9" x14ac:dyDescent="0.2">
      <c r="A25" s="41" t="s">
        <v>33</v>
      </c>
      <c r="B25" s="42">
        <v>0.8</v>
      </c>
      <c r="C25" s="37" t="s">
        <v>24</v>
      </c>
      <c r="D25" s="29"/>
      <c r="E25" s="29"/>
      <c r="F25" s="29"/>
      <c r="G25" s="29"/>
      <c r="H25" s="29"/>
      <c r="I25" s="29"/>
    </row>
    <row r="26" spans="1:9" x14ac:dyDescent="0.2">
      <c r="A26" s="41" t="s">
        <v>5</v>
      </c>
      <c r="B26" s="42">
        <v>1.7</v>
      </c>
      <c r="C26" s="37" t="s">
        <v>24</v>
      </c>
      <c r="D26" s="29"/>
      <c r="E26" s="29"/>
      <c r="F26" s="29"/>
      <c r="G26" s="29"/>
      <c r="H26" s="29"/>
      <c r="I26" s="29"/>
    </row>
    <row r="27" spans="1:9" x14ac:dyDescent="0.2">
      <c r="A27" s="41" t="s">
        <v>3</v>
      </c>
      <c r="B27" s="42">
        <v>0.3</v>
      </c>
      <c r="C27" s="37" t="s">
        <v>24</v>
      </c>
      <c r="D27" s="29"/>
      <c r="E27" s="29"/>
      <c r="F27" s="29"/>
      <c r="G27" s="29"/>
      <c r="H27" s="29"/>
      <c r="I27" s="29"/>
    </row>
    <row r="28" spans="1:9" x14ac:dyDescent="0.2">
      <c r="A28" s="37" t="s">
        <v>11</v>
      </c>
      <c r="B28" s="43">
        <v>2.82E-3</v>
      </c>
      <c r="C28" s="37" t="s">
        <v>38</v>
      </c>
      <c r="D28" s="29"/>
      <c r="E28" s="29"/>
      <c r="F28" s="29"/>
      <c r="G28" s="29"/>
      <c r="H28" s="29"/>
      <c r="I28" s="29"/>
    </row>
    <row r="29" spans="1:9" x14ac:dyDescent="0.2">
      <c r="A29" s="29"/>
      <c r="B29" s="44"/>
      <c r="C29" s="29"/>
      <c r="D29" s="29"/>
      <c r="E29" s="29"/>
      <c r="F29" s="29"/>
      <c r="G29" s="37"/>
      <c r="H29" s="37"/>
      <c r="I29" s="37"/>
    </row>
    <row r="30" spans="1:9" x14ac:dyDescent="0.2">
      <c r="A30" s="37" t="s">
        <v>82</v>
      </c>
      <c r="B30" s="45">
        <f>(($B$24-$B$25)/2)/$B$26</f>
        <v>1.2352941176470589</v>
      </c>
      <c r="C30" s="29"/>
      <c r="D30" s="29"/>
      <c r="E30" s="46" t="s">
        <v>83</v>
      </c>
      <c r="F30" s="47">
        <f>B30</f>
        <v>1.2352941176470589</v>
      </c>
      <c r="G30" s="37">
        <v>1</v>
      </c>
      <c r="H30" s="37"/>
      <c r="I30" s="37"/>
    </row>
    <row r="31" spans="1:9" x14ac:dyDescent="0.2">
      <c r="A31" s="37" t="s">
        <v>34</v>
      </c>
      <c r="B31" s="45">
        <f>$B$24-2*$B$27*B30</f>
        <v>4.2588235294117647</v>
      </c>
      <c r="C31" s="37" t="s">
        <v>24</v>
      </c>
      <c r="D31" s="29"/>
      <c r="E31" s="29"/>
      <c r="F31" s="29"/>
      <c r="G31" s="37"/>
      <c r="H31" s="48">
        <f>B30</f>
        <v>1.2352941176470589</v>
      </c>
      <c r="I31" s="37"/>
    </row>
    <row r="32" spans="1:9" x14ac:dyDescent="0.2">
      <c r="A32" s="37" t="s">
        <v>7</v>
      </c>
      <c r="B32" s="45">
        <f>($B$31+$B$25)*($B$26-$B$27)/2</f>
        <v>3.5411764705882347</v>
      </c>
      <c r="C32" s="37" t="s">
        <v>8</v>
      </c>
      <c r="D32" s="29"/>
      <c r="E32" s="29"/>
      <c r="F32" s="29"/>
      <c r="G32" s="29"/>
      <c r="H32" s="29"/>
      <c r="I32" s="29"/>
    </row>
    <row r="33" spans="1:13" x14ac:dyDescent="0.2">
      <c r="A33" s="37" t="s">
        <v>9</v>
      </c>
      <c r="B33" s="49">
        <f>$B$25+2*(SQRT(($B$26-$B$27)^2+(($B$31-$B$25)/2)^2))</f>
        <v>5.2501078871879558</v>
      </c>
      <c r="C33" s="37" t="s">
        <v>24</v>
      </c>
      <c r="D33" s="29"/>
      <c r="E33" s="29"/>
      <c r="F33" s="29"/>
      <c r="G33" s="29"/>
      <c r="H33" s="29"/>
      <c r="I33" s="29"/>
    </row>
    <row r="34" spans="1:13" x14ac:dyDescent="0.2">
      <c r="A34" s="37" t="s">
        <v>10</v>
      </c>
      <c r="B34" s="45">
        <f>$B$32/$B$33</f>
        <v>0.67449594307002847</v>
      </c>
      <c r="C34" s="37" t="s">
        <v>24</v>
      </c>
      <c r="D34" s="29"/>
      <c r="E34" s="29"/>
      <c r="F34" s="29"/>
      <c r="G34" s="29"/>
      <c r="H34" s="29"/>
      <c r="I34" s="29"/>
    </row>
    <row r="35" spans="1:13" x14ac:dyDescent="0.2">
      <c r="A35" s="29"/>
      <c r="B35" s="29"/>
      <c r="C35" s="29"/>
      <c r="D35" s="29"/>
      <c r="E35" s="29"/>
      <c r="F35" s="29"/>
      <c r="G35" s="29"/>
      <c r="H35" s="29"/>
      <c r="I35" s="29"/>
    </row>
    <row r="36" spans="1:13" x14ac:dyDescent="0.2">
      <c r="A36" s="29"/>
      <c r="B36" s="29"/>
      <c r="C36" s="50"/>
      <c r="D36" s="29"/>
      <c r="E36" s="29"/>
      <c r="F36" s="29"/>
      <c r="G36" s="29"/>
      <c r="H36" s="29"/>
      <c r="I36" s="29"/>
    </row>
    <row r="37" spans="1:13" x14ac:dyDescent="0.2">
      <c r="A37" s="29"/>
      <c r="B37" s="51"/>
      <c r="C37" s="29"/>
      <c r="D37" s="29"/>
      <c r="E37" s="29"/>
      <c r="F37" s="29"/>
      <c r="G37" s="29"/>
      <c r="H37" s="29"/>
      <c r="I37" s="29"/>
    </row>
    <row r="38" spans="1:13" ht="14.25" x14ac:dyDescent="0.2">
      <c r="A38" s="52" t="s">
        <v>85</v>
      </c>
      <c r="B38" s="48">
        <f>IF($R$8=$L$8,$P$8,IF($R$8=$L$9,$P$9,IF($R$8=$L$10,$P$10,IF($R$8=$L$11,$P$11,IF($R$8=$L$12,$P$12,IF($R$8=$L$13,$P$13,IF($R$8=$L$14,$P$14,"errore")))))))</f>
        <v>1.3</v>
      </c>
      <c r="C38" s="41" t="s">
        <v>84</v>
      </c>
      <c r="D38" s="29"/>
      <c r="E38" s="29"/>
      <c r="F38" s="29"/>
      <c r="G38" s="29"/>
      <c r="H38" s="29"/>
      <c r="I38" s="29"/>
    </row>
    <row r="39" spans="1:13" ht="12.75" customHeight="1" x14ac:dyDescent="0.2">
      <c r="A39" s="29"/>
      <c r="B39" s="29"/>
      <c r="C39" s="29"/>
      <c r="D39" s="53"/>
      <c r="E39" s="53"/>
      <c r="F39" s="29"/>
      <c r="G39" s="29"/>
      <c r="H39" s="29"/>
      <c r="I39" s="29"/>
    </row>
    <row r="40" spans="1:13" ht="12.75" customHeight="1" x14ac:dyDescent="0.2">
      <c r="A40" s="41" t="s">
        <v>12</v>
      </c>
      <c r="B40" s="45">
        <f>(87 * SQRT(B34))/(SQRT(B34)+B38)</f>
        <v>33.68305980302555</v>
      </c>
      <c r="C40" s="41"/>
      <c r="D40" s="53"/>
      <c r="E40" s="53"/>
      <c r="F40" s="29"/>
      <c r="G40" s="29"/>
      <c r="H40" s="29"/>
      <c r="I40" s="29"/>
    </row>
    <row r="41" spans="1:13" ht="12.75" customHeight="1" x14ac:dyDescent="0.2">
      <c r="A41" s="41" t="s">
        <v>13</v>
      </c>
      <c r="B41" s="45">
        <f>B40*(SQRT(B34*B28))</f>
        <v>1.4690134138837518</v>
      </c>
      <c r="C41" s="41" t="s">
        <v>35</v>
      </c>
      <c r="D41" s="53"/>
      <c r="E41" s="53"/>
      <c r="F41" s="29"/>
      <c r="G41" s="29"/>
      <c r="H41" s="29"/>
      <c r="I41" s="29"/>
      <c r="K41" s="2"/>
      <c r="M41" s="61" t="s">
        <v>79</v>
      </c>
    </row>
    <row r="42" spans="1:13" ht="18" customHeight="1" x14ac:dyDescent="0.25">
      <c r="A42" s="36" t="s">
        <v>86</v>
      </c>
      <c r="B42" s="54">
        <f>B32*B41</f>
        <v>5.202035736223638</v>
      </c>
      <c r="C42" s="41" t="s">
        <v>17</v>
      </c>
      <c r="D42" s="53"/>
      <c r="E42" s="53"/>
      <c r="F42" s="29"/>
      <c r="G42" s="29"/>
      <c r="H42" s="29"/>
      <c r="I42" s="29"/>
      <c r="K42" s="28"/>
      <c r="M42" s="62" t="b">
        <v>1</v>
      </c>
    </row>
    <row r="43" spans="1:13" ht="21" customHeight="1" x14ac:dyDescent="0.2">
      <c r="A43" s="93" t="s">
        <v>77</v>
      </c>
      <c r="B43" s="55"/>
      <c r="C43" s="56"/>
      <c r="D43" s="53"/>
      <c r="E43" s="53"/>
      <c r="F43" s="29"/>
      <c r="G43" s="29"/>
      <c r="H43" s="29"/>
      <c r="I43" s="29"/>
    </row>
    <row r="44" spans="1:13" ht="18.75" customHeight="1" x14ac:dyDescent="0.2">
      <c r="A44" s="53"/>
      <c r="B44" s="55"/>
      <c r="C44" s="56"/>
      <c r="D44" s="47" t="s">
        <v>115</v>
      </c>
      <c r="E44" s="53"/>
      <c r="F44" s="29"/>
      <c r="G44" s="29"/>
      <c r="H44" s="29"/>
      <c r="I44" s="29"/>
    </row>
    <row r="45" spans="1:13" x14ac:dyDescent="0.2">
      <c r="A45" s="53"/>
      <c r="B45" s="55"/>
      <c r="C45" s="56"/>
      <c r="D45" s="53"/>
      <c r="E45" s="53"/>
      <c r="F45" s="29"/>
      <c r="G45" s="29"/>
      <c r="H45" s="29"/>
      <c r="I45" s="29"/>
    </row>
    <row r="46" spans="1:13" ht="17.100000000000001" customHeight="1" x14ac:dyDescent="0.3">
      <c r="A46" s="148" t="s">
        <v>143</v>
      </c>
      <c r="B46" s="45">
        <f>IF($M$42,'Calcolo portata Atot&gt;1 Kmq'!$B$96,'Calcolo portata Atot&lt;1 Kmq'!$B$96)</f>
        <v>2.4100165385131351</v>
      </c>
      <c r="C46" s="41" t="s">
        <v>17</v>
      </c>
      <c r="D46" s="41"/>
      <c r="E46" s="41" t="str">
        <f>IF(B42&lt;B46,"sezione insufficiente a Q10","sezione verificata a Q10")</f>
        <v>sezione verificata a Q10</v>
      </c>
      <c r="F46" s="37"/>
      <c r="G46" s="37"/>
      <c r="H46" s="174"/>
      <c r="I46" s="29"/>
    </row>
    <row r="47" spans="1:13" ht="17.100000000000001" customHeight="1" x14ac:dyDescent="0.3">
      <c r="A47" s="148" t="s">
        <v>166</v>
      </c>
      <c r="B47" s="45">
        <f>IF($M$42,'Calcolo portata Atot&gt;1 Kmq'!$B$97,'Calcolo portata Atot&lt;1 Kmq'!$B$97)</f>
        <v>3.4126764953162132</v>
      </c>
      <c r="C47" s="41" t="s">
        <v>17</v>
      </c>
      <c r="D47" s="41"/>
      <c r="E47" s="41" t="str">
        <f>IF(B42&lt;B47,"sezione insufficiente a Q30","sezione verificata a Q30")</f>
        <v>sezione verificata a Q30</v>
      </c>
      <c r="F47" s="146"/>
      <c r="G47" s="146"/>
      <c r="H47" s="174"/>
      <c r="I47" s="147"/>
    </row>
    <row r="48" spans="1:13" ht="15.75" x14ac:dyDescent="0.3">
      <c r="A48" s="148" t="s">
        <v>167</v>
      </c>
      <c r="B48" s="45">
        <f>IF($M$42,'Calcolo portata Atot&gt;1 Kmq'!$B$98,'Calcolo portata Atot&lt;1 Kmq'!$B$98)</f>
        <v>3.8810830731047128</v>
      </c>
      <c r="C48" s="41" t="s">
        <v>17</v>
      </c>
      <c r="D48" s="41"/>
      <c r="E48" s="41" t="str">
        <f>IF(B42&lt;B48,"sezione insufficiente a Q50","sezione verificata a Q50")</f>
        <v>sezione verificata a Q50</v>
      </c>
      <c r="H48" s="174"/>
    </row>
    <row r="49" spans="1:8" ht="15.75" x14ac:dyDescent="0.3">
      <c r="A49" s="148" t="s">
        <v>168</v>
      </c>
      <c r="B49" s="45">
        <f>IF($M$42,'Calcolo portata Atot&gt;1 Kmq'!$B$99,'Calcolo portata Atot&lt;1 Kmq'!$B$99)</f>
        <v>4.9517266794784272</v>
      </c>
      <c r="C49" s="41" t="s">
        <v>17</v>
      </c>
      <c r="D49" s="41"/>
      <c r="E49" s="41" t="str">
        <f>IF(B42&lt;B49,"sezione insufficiente a Q200","sezione verificata a Q200")</f>
        <v>sezione verificata a Q200</v>
      </c>
      <c r="H49" s="174"/>
    </row>
  </sheetData>
  <mergeCells count="1">
    <mergeCell ref="A3:G3"/>
  </mergeCells>
  <phoneticPr fontId="0" type="noConversion"/>
  <conditionalFormatting sqref="H46:H49">
    <cfRule type="expression" dxfId="5" priority="1">
      <formula>$B$42&gt;$B46</formula>
    </cfRule>
    <cfRule type="expression" dxfId="4" priority="2">
      <formula>$B$42&lt;$B46</formula>
    </cfRule>
  </conditionalFormatting>
  <printOptions horizontalCentered="1" verticalCentered="1" gridLinesSet="0"/>
  <pageMargins left="0.78740157480314965" right="0.78740157480314965" top="0.59055118110236227" bottom="0.59055118110236227" header="0.19685039370078741" footer="0.19685039370078741"/>
  <pageSetup paperSize="9" scale="98" orientation="portrait" horizontalDpi="4294967293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2" shapeId="17434" r:id="rId4">
          <objectPr defaultSize="0" autoLine="0" autoPict="0" r:id="rId5">
            <anchor moveWithCells="1">
              <from>
                <xdr:col>0</xdr:col>
                <xdr:colOff>57150</xdr:colOff>
                <xdr:row>10</xdr:row>
                <xdr:rowOff>19050</xdr:rowOff>
              </from>
              <to>
                <xdr:col>1</xdr:col>
                <xdr:colOff>400050</xdr:colOff>
                <xdr:row>14</xdr:row>
                <xdr:rowOff>123825</xdr:rowOff>
              </to>
            </anchor>
          </objectPr>
        </oleObject>
      </mc:Choice>
      <mc:Fallback>
        <oleObject progId="Equation.2" shapeId="17434" r:id="rId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39" r:id="rId6" name="Drop Down 31">
              <controlPr defaultSize="0" autoLine="0" autoPict="0">
                <anchor moveWithCells="1">
                  <from>
                    <xdr:col>0</xdr:col>
                    <xdr:colOff>47625</xdr:colOff>
                    <xdr:row>34</xdr:row>
                    <xdr:rowOff>152400</xdr:rowOff>
                  </from>
                  <to>
                    <xdr:col>9</xdr:col>
                    <xdr:colOff>66675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2" r:id="rId7" name="Check Box 34">
              <controlPr defaultSize="0" autoFill="0" autoLine="0" autoPict="0">
                <anchor moveWithCells="1">
                  <from>
                    <xdr:col>0</xdr:col>
                    <xdr:colOff>28575</xdr:colOff>
                    <xdr:row>43</xdr:row>
                    <xdr:rowOff>19050</xdr:rowOff>
                  </from>
                  <to>
                    <xdr:col>2</xdr:col>
                    <xdr:colOff>323850</xdr:colOff>
                    <xdr:row>44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7">
    <pageSetUpPr fitToPage="1"/>
  </sheetPr>
  <dimension ref="A1:V84"/>
  <sheetViews>
    <sheetView showGridLines="0" view="pageBreakPreview" topLeftCell="A48" zoomScaleNormal="100" zoomScaleSheetLayoutView="100" workbookViewId="0">
      <selection activeCell="J72" sqref="J72"/>
    </sheetView>
  </sheetViews>
  <sheetFormatPr defaultRowHeight="12.75" x14ac:dyDescent="0.2"/>
  <cols>
    <col min="2" max="2" width="10.7109375" customWidth="1"/>
    <col min="8" max="8" width="14.28515625" customWidth="1"/>
    <col min="9" max="9" width="4.5703125" customWidth="1"/>
    <col min="10" max="10" width="10.7109375" customWidth="1"/>
    <col min="11" max="11" width="7.7109375" hidden="1" customWidth="1"/>
    <col min="12" max="12" width="75.5703125" hidden="1" customWidth="1"/>
    <col min="13" max="16" width="9.140625" hidden="1" customWidth="1"/>
  </cols>
  <sheetData>
    <row r="1" spans="1:22" ht="55.5" customHeight="1" x14ac:dyDescent="0.2"/>
    <row r="2" spans="1:22" ht="23.25" customHeight="1" x14ac:dyDescent="0.2">
      <c r="A2" s="38"/>
      <c r="B2" s="38"/>
      <c r="C2" s="38"/>
      <c r="D2" s="38"/>
      <c r="E2" s="38"/>
      <c r="F2" s="38"/>
      <c r="G2" s="120" t="s">
        <v>116</v>
      </c>
      <c r="H2" s="38"/>
      <c r="I2" s="38"/>
      <c r="J2" s="38"/>
      <c r="K2" s="38"/>
      <c r="L2" s="38"/>
      <c r="M2" s="38"/>
      <c r="N2" s="38"/>
      <c r="O2" s="38"/>
      <c r="P2" s="38"/>
    </row>
    <row r="3" spans="1:22" ht="15" customHeight="1" x14ac:dyDescent="0.35">
      <c r="A3" s="180" t="s">
        <v>74</v>
      </c>
      <c r="B3" s="180"/>
      <c r="C3" s="180"/>
      <c r="D3" s="180"/>
      <c r="E3" s="180"/>
      <c r="F3" s="180"/>
      <c r="G3" s="180"/>
      <c r="H3" s="180"/>
      <c r="I3" s="30"/>
      <c r="J3" s="31"/>
      <c r="K3" s="29"/>
      <c r="L3" s="57" t="s">
        <v>45</v>
      </c>
      <c r="M3" s="58" t="s">
        <v>46</v>
      </c>
      <c r="N3" s="38"/>
      <c r="O3" s="31" t="s">
        <v>44</v>
      </c>
      <c r="P3" s="38"/>
    </row>
    <row r="4" spans="1:22" ht="15" customHeight="1" x14ac:dyDescent="0.25">
      <c r="A4" s="116" t="s">
        <v>96</v>
      </c>
      <c r="B4" s="116"/>
      <c r="C4" s="11"/>
      <c r="D4" s="118" t="s">
        <v>114</v>
      </c>
      <c r="E4" s="116"/>
      <c r="F4" s="116"/>
      <c r="G4" s="116"/>
      <c r="H4" s="116"/>
      <c r="I4" s="32"/>
      <c r="J4" s="96"/>
      <c r="K4" s="29">
        <v>1</v>
      </c>
      <c r="L4" s="29" t="s">
        <v>47</v>
      </c>
      <c r="M4" s="59">
        <v>0.36</v>
      </c>
      <c r="N4" s="38"/>
      <c r="O4" s="60">
        <v>5</v>
      </c>
      <c r="P4" s="38"/>
    </row>
    <row r="5" spans="1:22" ht="15" customHeight="1" x14ac:dyDescent="0.25">
      <c r="A5" s="116"/>
      <c r="B5" s="116"/>
      <c r="C5" s="11"/>
      <c r="D5" s="118"/>
      <c r="E5" s="116"/>
      <c r="F5" s="116"/>
      <c r="G5" s="116"/>
      <c r="H5" s="116"/>
      <c r="I5" s="32"/>
      <c r="J5" s="96"/>
      <c r="K5" s="29">
        <v>2</v>
      </c>
      <c r="L5" s="29" t="s">
        <v>48</v>
      </c>
      <c r="M5" s="59">
        <v>0.46</v>
      </c>
      <c r="N5" s="38"/>
      <c r="O5" s="97"/>
      <c r="P5" s="38"/>
    </row>
    <row r="6" spans="1:22" ht="15" customHeight="1" x14ac:dyDescent="0.25">
      <c r="A6" s="183" t="s">
        <v>75</v>
      </c>
      <c r="B6" s="183"/>
      <c r="C6" s="183"/>
      <c r="D6" s="183"/>
      <c r="E6" s="183"/>
      <c r="F6" s="183"/>
      <c r="G6" s="183"/>
      <c r="H6" s="183"/>
      <c r="I6" s="63"/>
      <c r="J6" s="33"/>
      <c r="K6" s="29">
        <v>3</v>
      </c>
      <c r="L6" s="29" t="s">
        <v>49</v>
      </c>
      <c r="M6" s="59">
        <v>0.85</v>
      </c>
      <c r="N6" s="38"/>
      <c r="O6" s="51"/>
      <c r="P6" s="38"/>
      <c r="Q6" s="17"/>
      <c r="R6" s="17"/>
      <c r="S6" s="17"/>
      <c r="T6" s="17"/>
      <c r="U6" s="17"/>
      <c r="V6" s="17"/>
    </row>
    <row r="7" spans="1:22" ht="15" customHeight="1" x14ac:dyDescent="0.25">
      <c r="A7" s="63"/>
      <c r="B7" s="63"/>
      <c r="C7" s="63"/>
      <c r="D7" s="63"/>
      <c r="E7" s="63"/>
      <c r="F7" s="63"/>
      <c r="G7" s="63"/>
      <c r="H7" s="63"/>
      <c r="I7" s="63"/>
      <c r="J7" s="33"/>
      <c r="K7" s="29">
        <v>4</v>
      </c>
      <c r="L7" s="29" t="s">
        <v>50</v>
      </c>
      <c r="M7" s="59">
        <v>1</v>
      </c>
      <c r="N7" s="38"/>
      <c r="O7" s="38"/>
      <c r="P7" s="38"/>
      <c r="Q7" s="17"/>
      <c r="R7" s="17"/>
      <c r="S7" s="17"/>
      <c r="T7" s="17"/>
      <c r="U7" s="17"/>
      <c r="V7" s="17"/>
    </row>
    <row r="8" spans="1:22" ht="12" customHeight="1" x14ac:dyDescent="0.25">
      <c r="A8" s="36" t="s">
        <v>0</v>
      </c>
      <c r="B8" s="63"/>
      <c r="C8" s="64"/>
      <c r="D8" s="64"/>
      <c r="E8" s="64"/>
      <c r="F8" s="63"/>
      <c r="G8" s="63"/>
      <c r="H8" s="63"/>
      <c r="I8" s="63"/>
      <c r="J8" s="33"/>
      <c r="K8" s="29">
        <v>5</v>
      </c>
      <c r="L8" s="29" t="s">
        <v>51</v>
      </c>
      <c r="M8" s="59">
        <v>1.3</v>
      </c>
      <c r="N8" s="38"/>
      <c r="O8" s="38"/>
      <c r="P8" s="38"/>
      <c r="Q8" s="18"/>
      <c r="R8" s="18"/>
      <c r="S8" s="19"/>
      <c r="T8" s="17"/>
      <c r="U8" s="17"/>
      <c r="V8" s="17"/>
    </row>
    <row r="9" spans="1:22" ht="12" customHeight="1" x14ac:dyDescent="0.25">
      <c r="A9" s="63"/>
      <c r="B9" s="63"/>
      <c r="C9" s="37" t="s">
        <v>14</v>
      </c>
      <c r="D9" s="37"/>
      <c r="F9" s="29"/>
      <c r="G9" s="29"/>
      <c r="H9" s="63"/>
      <c r="I9" s="63"/>
      <c r="J9" s="33"/>
      <c r="K9" s="29">
        <v>6</v>
      </c>
      <c r="L9" s="29" t="s">
        <v>52</v>
      </c>
      <c r="M9" s="59">
        <v>1.75</v>
      </c>
      <c r="N9" s="38"/>
      <c r="O9" s="38"/>
      <c r="P9" s="38"/>
      <c r="Q9" s="15"/>
      <c r="R9" s="15"/>
      <c r="S9" s="16"/>
      <c r="T9" s="17"/>
      <c r="U9" s="20"/>
      <c r="V9" s="17"/>
    </row>
    <row r="10" spans="1:22" ht="12" customHeight="1" x14ac:dyDescent="0.25">
      <c r="A10" s="63"/>
      <c r="B10" s="63"/>
      <c r="C10" s="37" t="s">
        <v>2</v>
      </c>
      <c r="D10" s="37"/>
      <c r="F10" s="29"/>
      <c r="G10" s="29"/>
      <c r="H10" s="63"/>
      <c r="I10" s="63"/>
      <c r="J10" s="33"/>
      <c r="K10" s="29">
        <v>7</v>
      </c>
      <c r="L10" s="29" t="s">
        <v>53</v>
      </c>
      <c r="M10" s="59">
        <v>2.2999999999999998</v>
      </c>
      <c r="N10" s="38"/>
      <c r="O10" s="38"/>
      <c r="P10" s="38"/>
      <c r="Q10" s="15"/>
      <c r="R10" s="15"/>
      <c r="S10" s="16"/>
      <c r="T10" s="17"/>
      <c r="U10" s="20"/>
      <c r="V10" s="17"/>
    </row>
    <row r="11" spans="1:22" ht="12" customHeight="1" x14ac:dyDescent="0.25">
      <c r="A11" s="63"/>
      <c r="B11" s="63"/>
      <c r="C11" s="37" t="s">
        <v>4</v>
      </c>
      <c r="D11" s="37"/>
      <c r="F11" s="29"/>
      <c r="G11" s="29"/>
      <c r="H11" s="63"/>
      <c r="I11" s="63"/>
      <c r="J11" s="33"/>
      <c r="K11" s="38"/>
      <c r="L11" s="38"/>
      <c r="M11" s="38"/>
      <c r="N11" s="38"/>
      <c r="O11" s="38"/>
      <c r="P11" s="38"/>
      <c r="Q11" s="15"/>
      <c r="R11" s="15"/>
      <c r="S11" s="16"/>
      <c r="T11" s="17"/>
      <c r="U11" s="20"/>
      <c r="V11" s="17"/>
    </row>
    <row r="12" spans="1:22" ht="12" customHeight="1" x14ac:dyDescent="0.25">
      <c r="A12" s="63"/>
      <c r="B12" s="63"/>
      <c r="C12" s="37" t="s">
        <v>15</v>
      </c>
      <c r="D12" s="37"/>
      <c r="F12" s="29"/>
      <c r="G12" s="29"/>
      <c r="H12" s="63"/>
      <c r="I12" s="63"/>
      <c r="J12" s="33"/>
      <c r="K12" s="38"/>
      <c r="L12" s="38"/>
      <c r="M12" s="98"/>
      <c r="N12" s="99"/>
      <c r="O12" s="100"/>
      <c r="P12" s="101"/>
      <c r="Q12" s="15"/>
      <c r="R12" s="15"/>
      <c r="S12" s="16"/>
      <c r="T12" s="17"/>
      <c r="U12" s="20"/>
      <c r="V12" s="17"/>
    </row>
    <row r="13" spans="1:22" ht="12" customHeight="1" x14ac:dyDescent="0.25">
      <c r="A13" s="66"/>
      <c r="B13" s="67"/>
      <c r="C13" s="40" t="s">
        <v>87</v>
      </c>
      <c r="D13" s="65"/>
      <c r="F13" s="65"/>
      <c r="G13" s="65"/>
      <c r="H13" s="67"/>
      <c r="I13" s="67"/>
      <c r="J13" s="29"/>
      <c r="K13" s="38"/>
      <c r="L13" s="38"/>
      <c r="M13" s="98"/>
      <c r="N13" s="99"/>
      <c r="O13" s="100"/>
      <c r="P13" s="101"/>
      <c r="Q13" s="15"/>
      <c r="R13" s="15"/>
      <c r="S13" s="16"/>
      <c r="T13" s="17"/>
      <c r="U13" s="20"/>
      <c r="V13" s="17"/>
    </row>
    <row r="14" spans="1:22" ht="15" x14ac:dyDescent="0.25">
      <c r="A14" s="37" t="s">
        <v>16</v>
      </c>
      <c r="B14" s="68">
        <v>0.3</v>
      </c>
      <c r="C14" s="37" t="s">
        <v>24</v>
      </c>
      <c r="D14" s="29"/>
      <c r="E14" s="29"/>
      <c r="F14" s="29"/>
      <c r="G14" s="29"/>
      <c r="H14" s="67"/>
      <c r="I14" s="67"/>
      <c r="J14" s="29"/>
      <c r="K14" s="38"/>
      <c r="L14" s="38"/>
      <c r="M14" s="98"/>
      <c r="N14" s="99"/>
      <c r="O14" s="100"/>
      <c r="P14" s="101"/>
      <c r="Q14" s="15"/>
      <c r="R14" s="15"/>
      <c r="S14" s="16"/>
      <c r="T14" s="17"/>
      <c r="U14" s="20"/>
      <c r="V14" s="17"/>
    </row>
    <row r="15" spans="1:22" ht="15" x14ac:dyDescent="0.25">
      <c r="A15" s="37" t="s">
        <v>11</v>
      </c>
      <c r="B15" s="43">
        <v>2.82E-3</v>
      </c>
      <c r="C15" s="37" t="s">
        <v>38</v>
      </c>
      <c r="D15" s="67"/>
      <c r="E15" s="67"/>
      <c r="F15" s="67"/>
      <c r="G15" s="67"/>
      <c r="H15" s="67"/>
      <c r="I15" s="67"/>
      <c r="J15" s="29"/>
      <c r="K15" s="38"/>
      <c r="L15" s="38"/>
      <c r="M15" s="98"/>
      <c r="N15" s="99"/>
      <c r="O15" s="100"/>
      <c r="P15" s="101"/>
      <c r="Q15" s="15"/>
      <c r="R15" s="15"/>
      <c r="S15" s="16"/>
      <c r="T15" s="17"/>
      <c r="U15" s="20"/>
      <c r="V15" s="17"/>
    </row>
    <row r="16" spans="1:22" ht="7.5" customHeight="1" x14ac:dyDescent="0.25">
      <c r="A16" s="67"/>
      <c r="B16" s="67"/>
      <c r="C16" s="67"/>
      <c r="D16" s="67"/>
      <c r="E16" s="67"/>
      <c r="F16" s="67"/>
      <c r="G16" s="67"/>
      <c r="H16" s="67"/>
      <c r="I16" s="67"/>
      <c r="J16" s="29"/>
      <c r="K16" s="38"/>
      <c r="L16" s="38"/>
      <c r="M16" s="98"/>
      <c r="N16" s="99"/>
      <c r="O16" s="100"/>
      <c r="P16" s="101"/>
      <c r="Q16" s="15"/>
      <c r="R16" s="15"/>
      <c r="S16" s="16"/>
      <c r="T16" s="17"/>
      <c r="U16" s="20"/>
      <c r="V16" s="17"/>
    </row>
    <row r="17" spans="1:22" ht="14.25" x14ac:dyDescent="0.2">
      <c r="A17" s="69"/>
      <c r="B17" s="69"/>
      <c r="C17" s="70"/>
      <c r="D17" s="69"/>
      <c r="E17" s="69"/>
      <c r="F17" s="69"/>
      <c r="G17" s="69"/>
      <c r="H17" s="69"/>
      <c r="I17" s="69"/>
      <c r="J17" s="38"/>
      <c r="K17" s="38"/>
      <c r="L17" s="38"/>
      <c r="M17" s="98"/>
      <c r="N17" s="99"/>
      <c r="O17" s="100"/>
      <c r="P17" s="101"/>
      <c r="Q17" s="15"/>
      <c r="R17" s="15"/>
      <c r="S17" s="16"/>
      <c r="T17" s="17"/>
      <c r="U17" s="20"/>
      <c r="V17" s="17"/>
    </row>
    <row r="18" spans="1:22" ht="8.25" customHeight="1" x14ac:dyDescent="0.2">
      <c r="A18" s="69"/>
      <c r="B18" s="69"/>
      <c r="C18" s="70"/>
      <c r="D18" s="69"/>
      <c r="E18" s="69"/>
      <c r="F18" s="69"/>
      <c r="G18" s="69"/>
      <c r="H18" s="69"/>
      <c r="I18" s="69"/>
      <c r="J18" s="38"/>
      <c r="K18" s="38"/>
      <c r="L18" s="38"/>
      <c r="M18" s="98"/>
      <c r="N18" s="99"/>
      <c r="O18" s="100"/>
      <c r="P18" s="101"/>
      <c r="Q18" s="15"/>
      <c r="R18" s="15"/>
      <c r="S18" s="16"/>
      <c r="T18" s="17"/>
      <c r="U18" s="20"/>
      <c r="V18" s="17"/>
    </row>
    <row r="19" spans="1:22" ht="15" x14ac:dyDescent="0.25">
      <c r="A19" s="71" t="s">
        <v>76</v>
      </c>
      <c r="B19" s="48">
        <f>IF($O$4=$K$4,$M$4,IF($O$4=$K$5,$M$5,IF($O$4=$K$6,$M$6,IF($O$4=$K$7,$M$7,IF($O$4=$K$8,$M$8,IF($O$4=$K$9,$M$9,IF($O$4=$K$10,$M$10,"errore")))))))</f>
        <v>1.3</v>
      </c>
      <c r="C19" s="37" t="s">
        <v>84</v>
      </c>
      <c r="D19" s="69"/>
      <c r="E19" s="69"/>
      <c r="F19" s="69"/>
      <c r="G19" s="69"/>
      <c r="H19" s="69"/>
      <c r="I19" s="69"/>
      <c r="J19" s="38"/>
      <c r="K19" s="38"/>
      <c r="L19" s="38"/>
      <c r="M19" s="98"/>
      <c r="N19" s="99"/>
      <c r="O19" s="100"/>
      <c r="P19" s="101"/>
      <c r="Q19" s="15"/>
      <c r="R19" s="15"/>
      <c r="S19" s="16"/>
      <c r="T19" s="17"/>
      <c r="U19" s="20"/>
      <c r="V19" s="17"/>
    </row>
    <row r="20" spans="1:22" ht="3.75" customHeight="1" x14ac:dyDescent="0.25">
      <c r="A20" s="71"/>
      <c r="B20" s="72"/>
      <c r="C20" s="64"/>
      <c r="D20" s="69"/>
      <c r="E20" s="69"/>
      <c r="F20" s="69"/>
      <c r="G20" s="69"/>
      <c r="H20" s="69"/>
      <c r="I20" s="69"/>
      <c r="J20" s="38"/>
      <c r="K20" s="38"/>
      <c r="L20" s="38"/>
      <c r="M20" s="98"/>
      <c r="N20" s="99"/>
      <c r="O20" s="100"/>
      <c r="P20" s="101"/>
      <c r="Q20" s="15"/>
      <c r="R20" s="15"/>
      <c r="S20" s="16"/>
      <c r="T20" s="17"/>
      <c r="U20" s="20"/>
      <c r="V20" s="17"/>
    </row>
    <row r="21" spans="1:22" x14ac:dyDescent="0.2">
      <c r="A21" s="184" t="s">
        <v>89</v>
      </c>
      <c r="B21" s="184"/>
      <c r="C21" s="184"/>
      <c r="D21" s="185"/>
      <c r="E21" s="185"/>
      <c r="F21" s="185"/>
      <c r="G21" s="185"/>
      <c r="H21" s="185"/>
      <c r="I21" s="176"/>
      <c r="J21" s="38"/>
      <c r="K21" s="38"/>
      <c r="L21" s="38"/>
      <c r="M21" s="98"/>
      <c r="N21" s="99"/>
      <c r="O21" s="100"/>
      <c r="P21" s="101"/>
      <c r="Q21" s="15"/>
      <c r="R21" s="15"/>
      <c r="S21" s="16"/>
      <c r="T21" s="17"/>
      <c r="U21" s="20"/>
      <c r="V21" s="17"/>
    </row>
    <row r="22" spans="1:22" ht="24" customHeight="1" x14ac:dyDescent="0.2">
      <c r="A22" s="73" t="s">
        <v>90</v>
      </c>
      <c r="B22" s="74"/>
      <c r="C22" s="75" t="s">
        <v>91</v>
      </c>
      <c r="D22" s="76" t="s">
        <v>92</v>
      </c>
      <c r="E22" s="76" t="s">
        <v>40</v>
      </c>
      <c r="F22" s="76" t="s">
        <v>41</v>
      </c>
      <c r="G22" s="75" t="s">
        <v>93</v>
      </c>
      <c r="H22" s="77" t="s">
        <v>94</v>
      </c>
      <c r="I22" s="177"/>
      <c r="J22" s="38"/>
      <c r="K22" s="38"/>
      <c r="L22" s="38"/>
      <c r="M22" s="103"/>
      <c r="N22" s="103"/>
      <c r="O22" s="103"/>
      <c r="P22" s="103"/>
      <c r="Q22" s="15"/>
      <c r="R22" s="15"/>
      <c r="S22" s="16"/>
      <c r="T22" s="17"/>
      <c r="U22" s="20"/>
      <c r="V22" s="17"/>
    </row>
    <row r="23" spans="1:22" ht="11.1" customHeight="1" x14ac:dyDescent="0.2">
      <c r="A23" s="78">
        <v>1000</v>
      </c>
      <c r="B23" s="79" t="s">
        <v>42</v>
      </c>
      <c r="C23" s="80">
        <v>800</v>
      </c>
      <c r="D23" s="81">
        <f t="shared" ref="D23:D59" si="0">A23/1000*(C23/1000-$B$14)</f>
        <v>0.5</v>
      </c>
      <c r="E23" s="81">
        <f t="shared" ref="E23:E59" si="1">D23/(A23/1000+(C23/1000-$B$14)*2)</f>
        <v>0.25</v>
      </c>
      <c r="F23" s="81">
        <f t="shared" ref="F23:F59" si="2">87*SQRT(E23)/(SQRT(E23)+$B$19)</f>
        <v>24.166666666666664</v>
      </c>
      <c r="G23" s="81">
        <f t="shared" ref="G23:G59" si="3">H23/D23</f>
        <v>0.64166937228866805</v>
      </c>
      <c r="H23" s="82">
        <f t="shared" ref="H23:H59" si="4">D23*F23*SQRT(E23*$B$15)</f>
        <v>0.32083468614433402</v>
      </c>
      <c r="I23" s="102"/>
      <c r="J23" s="38"/>
      <c r="K23" s="38"/>
      <c r="L23" s="38"/>
      <c r="M23" s="104"/>
      <c r="N23" s="104"/>
      <c r="O23" s="104"/>
      <c r="P23" s="104"/>
      <c r="Q23" s="17"/>
      <c r="R23" s="17"/>
      <c r="S23" s="17"/>
      <c r="T23" s="17"/>
      <c r="U23" s="17"/>
      <c r="V23" s="17"/>
    </row>
    <row r="24" spans="1:22" ht="11.1" customHeight="1" x14ac:dyDescent="0.2">
      <c r="A24" s="78">
        <v>1200</v>
      </c>
      <c r="B24" s="79" t="s">
        <v>42</v>
      </c>
      <c r="C24" s="80">
        <v>800</v>
      </c>
      <c r="D24" s="81">
        <f t="shared" si="0"/>
        <v>0.6</v>
      </c>
      <c r="E24" s="81">
        <f t="shared" si="1"/>
        <v>0.27272727272727271</v>
      </c>
      <c r="F24" s="81">
        <f t="shared" si="2"/>
        <v>24.933292836654971</v>
      </c>
      <c r="G24" s="81">
        <f t="shared" si="3"/>
        <v>0.69146225267374695</v>
      </c>
      <c r="H24" s="82">
        <f t="shared" si="4"/>
        <v>0.41487735160424816</v>
      </c>
      <c r="I24" s="102"/>
      <c r="J24" s="38"/>
      <c r="K24" s="38"/>
      <c r="L24" s="38"/>
      <c r="M24" s="105"/>
      <c r="N24" s="100"/>
      <c r="O24" s="105"/>
      <c r="P24" s="106"/>
      <c r="Q24" s="21"/>
      <c r="R24" s="21"/>
      <c r="S24" s="21"/>
      <c r="T24" s="17"/>
      <c r="U24" s="17"/>
      <c r="V24" s="17"/>
    </row>
    <row r="25" spans="1:22" ht="11.1" customHeight="1" x14ac:dyDescent="0.2">
      <c r="A25" s="78">
        <v>1200</v>
      </c>
      <c r="B25" s="79" t="s">
        <v>42</v>
      </c>
      <c r="C25" s="80">
        <v>1000</v>
      </c>
      <c r="D25" s="81">
        <f t="shared" si="0"/>
        <v>0.84</v>
      </c>
      <c r="E25" s="81">
        <f t="shared" si="1"/>
        <v>0.32307692307692309</v>
      </c>
      <c r="F25" s="81">
        <f t="shared" si="2"/>
        <v>26.466876919215593</v>
      </c>
      <c r="G25" s="81">
        <f t="shared" si="3"/>
        <v>0.79887755761352719</v>
      </c>
      <c r="H25" s="82">
        <f t="shared" si="4"/>
        <v>0.67105714839536279</v>
      </c>
      <c r="I25" s="102"/>
      <c r="J25" s="38"/>
      <c r="K25" s="38"/>
      <c r="L25" s="38"/>
      <c r="M25" s="105"/>
      <c r="N25" s="100"/>
      <c r="O25" s="105"/>
      <c r="P25" s="106"/>
      <c r="Q25" s="18"/>
      <c r="R25" s="18"/>
      <c r="S25" s="19"/>
      <c r="T25" s="17"/>
      <c r="U25" s="17"/>
      <c r="V25" s="17"/>
    </row>
    <row r="26" spans="1:22" ht="11.1" customHeight="1" x14ac:dyDescent="0.2">
      <c r="A26" s="78">
        <v>1500</v>
      </c>
      <c r="B26" s="79" t="s">
        <v>42</v>
      </c>
      <c r="C26" s="80">
        <v>1000</v>
      </c>
      <c r="D26" s="81">
        <f t="shared" si="0"/>
        <v>1.0499999999999998</v>
      </c>
      <c r="E26" s="81">
        <f t="shared" si="1"/>
        <v>0.36206896551724133</v>
      </c>
      <c r="F26" s="81">
        <f t="shared" si="2"/>
        <v>27.527574610858817</v>
      </c>
      <c r="G26" s="81">
        <f t="shared" si="3"/>
        <v>0.87960593933225872</v>
      </c>
      <c r="H26" s="82">
        <f t="shared" si="4"/>
        <v>0.92358623629887149</v>
      </c>
      <c r="I26" s="102"/>
      <c r="J26" s="38"/>
      <c r="K26" s="38"/>
      <c r="L26" s="38"/>
      <c r="M26" s="105"/>
      <c r="N26" s="100"/>
      <c r="O26" s="105"/>
      <c r="P26" s="106"/>
      <c r="Q26" s="18"/>
      <c r="R26" s="18"/>
      <c r="S26" s="19"/>
      <c r="T26" s="17"/>
      <c r="U26" s="17"/>
      <c r="V26" s="17"/>
    </row>
    <row r="27" spans="1:22" ht="11.1" customHeight="1" x14ac:dyDescent="0.2">
      <c r="A27" s="78">
        <v>1600</v>
      </c>
      <c r="B27" s="79" t="s">
        <v>42</v>
      </c>
      <c r="C27" s="80">
        <v>1000</v>
      </c>
      <c r="D27" s="81">
        <f t="shared" si="0"/>
        <v>1.1199999999999999</v>
      </c>
      <c r="E27" s="81">
        <f t="shared" si="1"/>
        <v>0.37333333333333329</v>
      </c>
      <c r="F27" s="81">
        <f t="shared" si="2"/>
        <v>27.816639098684099</v>
      </c>
      <c r="G27" s="81">
        <f t="shared" si="3"/>
        <v>0.90256314152188422</v>
      </c>
      <c r="H27" s="82">
        <f t="shared" si="4"/>
        <v>1.0108707185045103</v>
      </c>
      <c r="I27" s="102"/>
      <c r="J27" s="38"/>
      <c r="K27" s="38"/>
      <c r="L27" s="38"/>
      <c r="M27" s="105"/>
      <c r="N27" s="100"/>
      <c r="O27" s="105"/>
      <c r="P27" s="106"/>
      <c r="Q27" s="18"/>
      <c r="R27" s="18"/>
      <c r="S27" s="19"/>
      <c r="T27" s="17"/>
      <c r="U27" s="17"/>
      <c r="V27" s="17"/>
    </row>
    <row r="28" spans="1:22" ht="11.1" customHeight="1" x14ac:dyDescent="0.2">
      <c r="A28" s="78">
        <v>1750</v>
      </c>
      <c r="B28" s="79" t="s">
        <v>42</v>
      </c>
      <c r="C28" s="80">
        <v>1000</v>
      </c>
      <c r="D28" s="81">
        <f t="shared" si="0"/>
        <v>1.2249999999999999</v>
      </c>
      <c r="E28" s="81">
        <f t="shared" si="1"/>
        <v>0.38888888888888884</v>
      </c>
      <c r="F28" s="81">
        <f t="shared" si="2"/>
        <v>28.204284856208297</v>
      </c>
      <c r="G28" s="81">
        <f t="shared" si="3"/>
        <v>0.93401190948562729</v>
      </c>
      <c r="H28" s="82">
        <f t="shared" si="4"/>
        <v>1.1441645891198933</v>
      </c>
      <c r="I28" s="102"/>
      <c r="J28" s="38"/>
      <c r="K28" s="38"/>
      <c r="L28" s="38"/>
      <c r="M28" s="98"/>
      <c r="N28" s="99"/>
      <c r="O28" s="100"/>
      <c r="P28" s="101"/>
      <c r="Q28" s="18"/>
      <c r="R28" s="18"/>
      <c r="S28" s="19"/>
      <c r="T28" s="17"/>
      <c r="U28" s="17"/>
      <c r="V28" s="17"/>
    </row>
    <row r="29" spans="1:22" ht="11.1" customHeight="1" x14ac:dyDescent="0.2">
      <c r="A29" s="78">
        <v>2000</v>
      </c>
      <c r="B29" s="79" t="s">
        <v>42</v>
      </c>
      <c r="C29" s="80">
        <v>1000</v>
      </c>
      <c r="D29" s="81">
        <f t="shared" si="0"/>
        <v>1.4</v>
      </c>
      <c r="E29" s="81">
        <f t="shared" si="1"/>
        <v>0.41176470588235292</v>
      </c>
      <c r="F29" s="81">
        <f t="shared" si="2"/>
        <v>28.751741378982938</v>
      </c>
      <c r="G29" s="81">
        <f t="shared" si="3"/>
        <v>0.97974547601357631</v>
      </c>
      <c r="H29" s="82">
        <f t="shared" si="4"/>
        <v>1.3716436664190068</v>
      </c>
      <c r="I29" s="102"/>
      <c r="J29" s="38"/>
      <c r="K29" s="38"/>
      <c r="L29" s="38"/>
      <c r="M29" s="98"/>
      <c r="N29" s="99"/>
      <c r="O29" s="100"/>
      <c r="P29" s="101"/>
      <c r="Q29" s="15"/>
      <c r="R29" s="15"/>
      <c r="S29" s="16"/>
      <c r="T29" s="17"/>
      <c r="U29" s="17"/>
      <c r="V29" s="17"/>
    </row>
    <row r="30" spans="1:22" ht="11.1" customHeight="1" x14ac:dyDescent="0.2">
      <c r="A30" s="78">
        <v>2500</v>
      </c>
      <c r="B30" s="79" t="s">
        <v>42</v>
      </c>
      <c r="C30" s="80">
        <v>1000</v>
      </c>
      <c r="D30" s="81">
        <f t="shared" si="0"/>
        <v>1.75</v>
      </c>
      <c r="E30" s="81">
        <f t="shared" si="1"/>
        <v>0.44871794871794873</v>
      </c>
      <c r="F30" s="81">
        <f t="shared" si="2"/>
        <v>29.584872506426155</v>
      </c>
      <c r="G30" s="81">
        <f t="shared" si="3"/>
        <v>1.0524003335267398</v>
      </c>
      <c r="H30" s="82">
        <f t="shared" si="4"/>
        <v>1.8417005836717948</v>
      </c>
      <c r="I30" s="102"/>
      <c r="J30" s="38"/>
      <c r="K30" s="38"/>
      <c r="L30" s="38"/>
      <c r="M30" s="98"/>
      <c r="N30" s="99"/>
      <c r="O30" s="100"/>
      <c r="P30" s="101"/>
      <c r="Q30" s="15"/>
      <c r="R30" s="15"/>
      <c r="S30" s="16"/>
      <c r="T30" s="17"/>
      <c r="U30" s="17"/>
      <c r="V30" s="17"/>
    </row>
    <row r="31" spans="1:22" ht="11.1" customHeight="1" x14ac:dyDescent="0.2">
      <c r="A31" s="78">
        <v>2100</v>
      </c>
      <c r="B31" s="79" t="s">
        <v>42</v>
      </c>
      <c r="C31" s="80">
        <v>1100</v>
      </c>
      <c r="D31" s="81">
        <f t="shared" si="0"/>
        <v>1.6800000000000002</v>
      </c>
      <c r="E31" s="81">
        <f t="shared" si="1"/>
        <v>0.45405405405405408</v>
      </c>
      <c r="F31" s="81">
        <f t="shared" si="2"/>
        <v>29.70038731609651</v>
      </c>
      <c r="G31" s="81">
        <f t="shared" si="3"/>
        <v>1.0627728369141951</v>
      </c>
      <c r="H31" s="82">
        <f t="shared" si="4"/>
        <v>1.7854583660158478</v>
      </c>
      <c r="I31" s="102"/>
      <c r="J31" s="38"/>
      <c r="K31" s="38"/>
      <c r="L31" s="38"/>
      <c r="M31" s="98"/>
      <c r="N31" s="99"/>
      <c r="O31" s="100"/>
      <c r="P31" s="101"/>
      <c r="Q31" s="15"/>
      <c r="R31" s="15"/>
      <c r="S31" s="16"/>
      <c r="T31" s="17"/>
      <c r="U31" s="17"/>
      <c r="V31" s="17"/>
    </row>
    <row r="32" spans="1:22" ht="11.1" customHeight="1" x14ac:dyDescent="0.2">
      <c r="A32" s="78">
        <v>2000</v>
      </c>
      <c r="B32" s="79" t="s">
        <v>42</v>
      </c>
      <c r="C32" s="80">
        <v>1250</v>
      </c>
      <c r="D32" s="81">
        <f t="shared" si="0"/>
        <v>1.9</v>
      </c>
      <c r="E32" s="81">
        <f t="shared" si="1"/>
        <v>0.48717948717948717</v>
      </c>
      <c r="F32" s="81">
        <f t="shared" si="2"/>
        <v>30.392895898320702</v>
      </c>
      <c r="G32" s="81">
        <f t="shared" si="3"/>
        <v>1.1265257770480683</v>
      </c>
      <c r="H32" s="82">
        <f t="shared" si="4"/>
        <v>2.1403989763913298</v>
      </c>
      <c r="I32" s="102"/>
      <c r="J32" s="38"/>
      <c r="K32" s="38"/>
      <c r="L32" s="38"/>
      <c r="M32" s="98"/>
      <c r="N32" s="99"/>
      <c r="O32" s="100"/>
      <c r="P32" s="101"/>
      <c r="Q32" s="15"/>
      <c r="R32" s="15"/>
      <c r="S32" s="16"/>
      <c r="T32" s="17"/>
      <c r="U32" s="17"/>
      <c r="V32" s="17"/>
    </row>
    <row r="33" spans="1:22" ht="11.1" customHeight="1" x14ac:dyDescent="0.2">
      <c r="A33" s="78">
        <v>2250</v>
      </c>
      <c r="B33" s="79" t="s">
        <v>42</v>
      </c>
      <c r="C33" s="80">
        <v>1250</v>
      </c>
      <c r="D33" s="81">
        <f t="shared" si="0"/>
        <v>2.1374999999999997</v>
      </c>
      <c r="E33" s="81">
        <f t="shared" si="1"/>
        <v>0.51506024096385528</v>
      </c>
      <c r="F33" s="81">
        <f t="shared" si="2"/>
        <v>30.945437559576082</v>
      </c>
      <c r="G33" s="81">
        <f t="shared" si="3"/>
        <v>1.1793703233624488</v>
      </c>
      <c r="H33" s="82">
        <f t="shared" si="4"/>
        <v>2.5209040661872342</v>
      </c>
      <c r="I33" s="102"/>
      <c r="J33" s="38"/>
      <c r="K33" s="38"/>
      <c r="L33" s="38"/>
      <c r="M33" s="98"/>
      <c r="N33" s="99"/>
      <c r="O33" s="100"/>
      <c r="P33" s="101"/>
      <c r="Q33" s="15"/>
      <c r="R33" s="15"/>
      <c r="S33" s="16"/>
      <c r="T33" s="17"/>
      <c r="U33" s="17"/>
      <c r="V33" s="17"/>
    </row>
    <row r="34" spans="1:22" ht="11.1" customHeight="1" x14ac:dyDescent="0.2">
      <c r="A34" s="78">
        <v>2500</v>
      </c>
      <c r="B34" s="79" t="s">
        <v>42</v>
      </c>
      <c r="C34" s="80">
        <v>1250</v>
      </c>
      <c r="D34" s="81">
        <f t="shared" si="0"/>
        <v>2.375</v>
      </c>
      <c r="E34" s="81">
        <f t="shared" si="1"/>
        <v>0.53977272727272718</v>
      </c>
      <c r="F34" s="81">
        <f t="shared" si="2"/>
        <v>31.41419873108736</v>
      </c>
      <c r="G34" s="81">
        <f t="shared" si="3"/>
        <v>1.2256204809971012</v>
      </c>
      <c r="H34" s="82">
        <f t="shared" si="4"/>
        <v>2.9108486423681152</v>
      </c>
      <c r="I34" s="102"/>
      <c r="J34" s="38"/>
      <c r="K34" s="38"/>
      <c r="L34" s="38"/>
      <c r="M34" s="98"/>
      <c r="N34" s="99"/>
      <c r="O34" s="100"/>
      <c r="P34" s="101"/>
      <c r="Q34" s="15"/>
      <c r="R34" s="15"/>
      <c r="S34" s="16"/>
      <c r="T34" s="17"/>
      <c r="U34" s="17"/>
      <c r="V34" s="17"/>
    </row>
    <row r="35" spans="1:22" ht="11.1" customHeight="1" x14ac:dyDescent="0.2">
      <c r="A35" s="78">
        <v>3000</v>
      </c>
      <c r="B35" s="79" t="s">
        <v>42</v>
      </c>
      <c r="C35" s="80">
        <v>1250</v>
      </c>
      <c r="D35" s="81">
        <f t="shared" si="0"/>
        <v>2.8499999999999996</v>
      </c>
      <c r="E35" s="81">
        <f t="shared" si="1"/>
        <v>0.58163265306122436</v>
      </c>
      <c r="F35" s="81">
        <f t="shared" si="2"/>
        <v>32.167582877307943</v>
      </c>
      <c r="G35" s="81">
        <f t="shared" si="3"/>
        <v>1.3027688708121443</v>
      </c>
      <c r="H35" s="82">
        <f t="shared" si="4"/>
        <v>3.7128912818146111</v>
      </c>
      <c r="I35" s="102"/>
      <c r="J35" s="38"/>
      <c r="K35" s="38"/>
      <c r="L35" s="38"/>
      <c r="M35" s="98"/>
      <c r="N35" s="99"/>
      <c r="O35" s="100"/>
      <c r="P35" s="101"/>
      <c r="Q35" s="15"/>
      <c r="R35" s="15"/>
      <c r="S35" s="16"/>
      <c r="T35" s="17"/>
      <c r="U35" s="17"/>
      <c r="V35" s="17"/>
    </row>
    <row r="36" spans="1:22" ht="11.1" customHeight="1" x14ac:dyDescent="0.2">
      <c r="A36" s="78">
        <v>2000</v>
      </c>
      <c r="B36" s="79" t="s">
        <v>42</v>
      </c>
      <c r="C36" s="80">
        <v>1500</v>
      </c>
      <c r="D36" s="81">
        <f t="shared" si="0"/>
        <v>2.4</v>
      </c>
      <c r="E36" s="81">
        <f t="shared" si="1"/>
        <v>0.54545454545454541</v>
      </c>
      <c r="F36" s="81">
        <f t="shared" si="2"/>
        <v>31.519360092480305</v>
      </c>
      <c r="G36" s="81">
        <f t="shared" si="3"/>
        <v>1.2361786214716606</v>
      </c>
      <c r="H36" s="82">
        <f t="shared" si="4"/>
        <v>2.966828691531985</v>
      </c>
      <c r="I36" s="102"/>
      <c r="J36" s="38"/>
      <c r="K36" s="38"/>
      <c r="L36" s="38"/>
      <c r="M36" s="98"/>
      <c r="N36" s="99"/>
      <c r="O36" s="100"/>
      <c r="P36" s="101"/>
      <c r="Q36" s="15"/>
      <c r="R36" s="15"/>
      <c r="S36" s="16"/>
      <c r="T36" s="17"/>
      <c r="U36" s="17"/>
      <c r="V36" s="17"/>
    </row>
    <row r="37" spans="1:22" ht="11.1" customHeight="1" x14ac:dyDescent="0.2">
      <c r="A37" s="78">
        <v>2500</v>
      </c>
      <c r="B37" s="79" t="s">
        <v>42</v>
      </c>
      <c r="C37" s="80">
        <v>1500</v>
      </c>
      <c r="D37" s="81">
        <f t="shared" si="0"/>
        <v>3</v>
      </c>
      <c r="E37" s="81">
        <f t="shared" si="1"/>
        <v>0.61224489795918358</v>
      </c>
      <c r="F37" s="81">
        <f>87*SQRT(E37)/(SQRT(E37)+$B$19)</f>
        <v>32.689253697564858</v>
      </c>
      <c r="G37" s="81">
        <f t="shared" si="3"/>
        <v>1.3582888860313493</v>
      </c>
      <c r="H37" s="82">
        <f t="shared" si="4"/>
        <v>4.0748666580940478</v>
      </c>
      <c r="I37" s="102"/>
      <c r="J37" s="38"/>
      <c r="K37" s="38"/>
      <c r="L37" s="38"/>
      <c r="M37" s="98"/>
      <c r="N37" s="99"/>
      <c r="O37" s="100"/>
      <c r="P37" s="101"/>
      <c r="Q37" s="15"/>
      <c r="R37" s="15"/>
      <c r="S37" s="16"/>
      <c r="T37" s="17"/>
      <c r="U37" s="17"/>
      <c r="V37" s="17"/>
    </row>
    <row r="38" spans="1:22" ht="11.1" customHeight="1" x14ac:dyDescent="0.2">
      <c r="A38" s="78">
        <v>3000</v>
      </c>
      <c r="B38" s="79" t="s">
        <v>42</v>
      </c>
      <c r="C38" s="80">
        <v>1500</v>
      </c>
      <c r="D38" s="81">
        <f t="shared" si="0"/>
        <v>3.5999999999999996</v>
      </c>
      <c r="E38" s="81">
        <f t="shared" si="1"/>
        <v>0.66666666666666652</v>
      </c>
      <c r="F38" s="81">
        <f t="shared" si="2"/>
        <v>33.562635149438897</v>
      </c>
      <c r="G38" s="81">
        <f t="shared" si="3"/>
        <v>1.4552411824050953</v>
      </c>
      <c r="H38" s="82">
        <f t="shared" si="4"/>
        <v>5.2388682566583427</v>
      </c>
      <c r="I38" s="102"/>
      <c r="J38" s="38"/>
      <c r="K38" s="38"/>
      <c r="L38" s="38"/>
      <c r="M38" s="98"/>
      <c r="N38" s="99"/>
      <c r="O38" s="100"/>
      <c r="P38" s="101"/>
      <c r="Q38" s="15"/>
      <c r="R38" s="15"/>
      <c r="S38" s="16"/>
      <c r="T38" s="17"/>
      <c r="U38" s="17"/>
      <c r="V38" s="17"/>
    </row>
    <row r="39" spans="1:22" ht="11.1" customHeight="1" x14ac:dyDescent="0.2">
      <c r="A39" s="78">
        <v>3500</v>
      </c>
      <c r="B39" s="79" t="s">
        <v>42</v>
      </c>
      <c r="C39" s="80">
        <v>1500</v>
      </c>
      <c r="D39" s="81">
        <f t="shared" si="0"/>
        <v>4.2</v>
      </c>
      <c r="E39" s="81">
        <f t="shared" si="1"/>
        <v>0.71186440677966101</v>
      </c>
      <c r="F39" s="81">
        <f t="shared" si="2"/>
        <v>34.241258315877801</v>
      </c>
      <c r="G39" s="81">
        <f t="shared" si="3"/>
        <v>1.5341679633351708</v>
      </c>
      <c r="H39" s="82">
        <f t="shared" si="4"/>
        <v>6.4435054460077179</v>
      </c>
      <c r="I39" s="102"/>
      <c r="J39" s="38"/>
      <c r="K39" s="38"/>
      <c r="L39" s="38"/>
      <c r="M39" s="98"/>
      <c r="N39" s="99"/>
      <c r="O39" s="100"/>
      <c r="P39" s="101"/>
      <c r="Q39" s="15"/>
      <c r="R39" s="15"/>
      <c r="S39" s="16"/>
      <c r="T39" s="17"/>
      <c r="U39" s="17"/>
      <c r="V39" s="17"/>
    </row>
    <row r="40" spans="1:22" ht="11.1" customHeight="1" x14ac:dyDescent="0.2">
      <c r="A40" s="78">
        <v>2200</v>
      </c>
      <c r="B40" s="79" t="s">
        <v>42</v>
      </c>
      <c r="C40" s="80">
        <v>1700</v>
      </c>
      <c r="D40" s="81">
        <f t="shared" si="0"/>
        <v>3.08</v>
      </c>
      <c r="E40" s="81">
        <f t="shared" si="1"/>
        <v>0.61599999999999999</v>
      </c>
      <c r="F40" s="81">
        <f t="shared" si="2"/>
        <v>32.751666593535369</v>
      </c>
      <c r="G40" s="81">
        <f t="shared" si="3"/>
        <v>1.3650492306521149</v>
      </c>
      <c r="H40" s="82">
        <f t="shared" si="4"/>
        <v>4.2043516304085138</v>
      </c>
      <c r="I40" s="102"/>
      <c r="J40" s="38"/>
      <c r="K40" s="38"/>
      <c r="L40" s="38"/>
      <c r="M40" s="98"/>
      <c r="N40" s="99"/>
      <c r="O40" s="100"/>
      <c r="P40" s="101"/>
      <c r="Q40" s="15"/>
      <c r="R40" s="15"/>
      <c r="S40" s="16"/>
      <c r="T40" s="17"/>
      <c r="U40" s="17"/>
      <c r="V40" s="17"/>
    </row>
    <row r="41" spans="1:22" ht="11.1" customHeight="1" x14ac:dyDescent="0.2">
      <c r="A41" s="78">
        <v>2500</v>
      </c>
      <c r="B41" s="79" t="s">
        <v>42</v>
      </c>
      <c r="C41" s="80">
        <v>1750</v>
      </c>
      <c r="D41" s="81">
        <f t="shared" si="0"/>
        <v>3.625</v>
      </c>
      <c r="E41" s="81">
        <f t="shared" si="1"/>
        <v>0.67129629629629628</v>
      </c>
      <c r="F41" s="81">
        <f t="shared" si="2"/>
        <v>33.633995499604907</v>
      </c>
      <c r="G41" s="81">
        <f t="shared" si="3"/>
        <v>1.463390196979605</v>
      </c>
      <c r="H41" s="82">
        <f t="shared" si="4"/>
        <v>5.3047894640510682</v>
      </c>
      <c r="I41" s="102"/>
      <c r="J41" s="38"/>
      <c r="K41" s="38"/>
      <c r="L41" s="38"/>
      <c r="M41" s="98"/>
      <c r="N41" s="99"/>
      <c r="O41" s="100"/>
      <c r="P41" s="101"/>
      <c r="Q41" s="15"/>
      <c r="R41" s="15"/>
      <c r="S41" s="16"/>
      <c r="T41" s="17"/>
      <c r="U41" s="17"/>
      <c r="V41" s="17"/>
    </row>
    <row r="42" spans="1:22" ht="11.1" customHeight="1" x14ac:dyDescent="0.2">
      <c r="A42" s="78">
        <v>2750</v>
      </c>
      <c r="B42" s="79" t="s">
        <v>42</v>
      </c>
      <c r="C42" s="80">
        <v>1750</v>
      </c>
      <c r="D42" s="81">
        <f t="shared" si="0"/>
        <v>3.9874999999999998</v>
      </c>
      <c r="E42" s="81">
        <f t="shared" si="1"/>
        <v>0.70575221238938046</v>
      </c>
      <c r="F42" s="81">
        <f t="shared" si="2"/>
        <v>34.151770060519048</v>
      </c>
      <c r="G42" s="81">
        <f t="shared" si="3"/>
        <v>1.5235752042893396</v>
      </c>
      <c r="H42" s="82">
        <f t="shared" si="4"/>
        <v>6.0752561271037413</v>
      </c>
      <c r="I42" s="102"/>
      <c r="J42" s="38"/>
      <c r="K42" s="38"/>
      <c r="L42" s="38"/>
      <c r="M42" s="98"/>
      <c r="N42" s="99"/>
      <c r="O42" s="100"/>
      <c r="P42" s="101"/>
      <c r="Q42" s="15"/>
      <c r="R42" s="15"/>
      <c r="S42" s="16"/>
      <c r="T42" s="17"/>
      <c r="U42" s="17"/>
      <c r="V42" s="17"/>
    </row>
    <row r="43" spans="1:22" ht="11.1" customHeight="1" x14ac:dyDescent="0.2">
      <c r="A43" s="78">
        <v>3000</v>
      </c>
      <c r="B43" s="79" t="s">
        <v>42</v>
      </c>
      <c r="C43" s="80">
        <v>1750</v>
      </c>
      <c r="D43" s="81">
        <f t="shared" si="0"/>
        <v>4.3499999999999996</v>
      </c>
      <c r="E43" s="81">
        <f t="shared" si="1"/>
        <v>0.73728813559322026</v>
      </c>
      <c r="F43" s="81">
        <f t="shared" si="2"/>
        <v>34.606260221210277</v>
      </c>
      <c r="G43" s="81">
        <f t="shared" si="3"/>
        <v>1.5779667433710889</v>
      </c>
      <c r="H43" s="82">
        <f t="shared" si="4"/>
        <v>6.864155333664236</v>
      </c>
      <c r="I43" s="102"/>
      <c r="J43" s="38"/>
      <c r="K43" s="38"/>
      <c r="L43" s="38"/>
      <c r="M43" s="98"/>
      <c r="N43" s="99"/>
      <c r="O43" s="100"/>
      <c r="P43" s="101"/>
      <c r="Q43" s="15"/>
      <c r="R43" s="15"/>
      <c r="S43" s="16"/>
      <c r="T43" s="17"/>
      <c r="U43" s="17"/>
      <c r="V43" s="17"/>
    </row>
    <row r="44" spans="1:22" ht="11.1" customHeight="1" x14ac:dyDescent="0.2">
      <c r="A44" s="78">
        <v>3500</v>
      </c>
      <c r="B44" s="79" t="s">
        <v>42</v>
      </c>
      <c r="C44" s="80">
        <v>1800</v>
      </c>
      <c r="D44" s="81">
        <f t="shared" si="0"/>
        <v>5.25</v>
      </c>
      <c r="E44" s="81">
        <f t="shared" si="1"/>
        <v>0.80769230769230771</v>
      </c>
      <c r="F44" s="81">
        <f t="shared" si="2"/>
        <v>35.560911551130779</v>
      </c>
      <c r="G44" s="81">
        <f t="shared" si="3"/>
        <v>1.6971507190805906</v>
      </c>
      <c r="H44" s="82">
        <f t="shared" si="4"/>
        <v>8.9100412751731</v>
      </c>
      <c r="I44" s="102"/>
      <c r="J44" s="38"/>
      <c r="K44" s="38"/>
      <c r="L44" s="38"/>
      <c r="M44" s="98"/>
      <c r="N44" s="99"/>
      <c r="O44" s="100"/>
      <c r="P44" s="101"/>
      <c r="Q44" s="15"/>
      <c r="R44" s="15"/>
      <c r="S44" s="16"/>
      <c r="T44" s="17"/>
      <c r="U44" s="17"/>
      <c r="V44" s="17"/>
    </row>
    <row r="45" spans="1:22" ht="11.1" customHeight="1" x14ac:dyDescent="0.2">
      <c r="A45" s="78">
        <v>2500</v>
      </c>
      <c r="B45" s="79" t="s">
        <v>42</v>
      </c>
      <c r="C45" s="80">
        <v>2000</v>
      </c>
      <c r="D45" s="81">
        <f t="shared" si="0"/>
        <v>4.25</v>
      </c>
      <c r="E45" s="81">
        <f t="shared" si="1"/>
        <v>0.72033898305084743</v>
      </c>
      <c r="F45" s="81">
        <f t="shared" si="2"/>
        <v>34.36420464341824</v>
      </c>
      <c r="G45" s="81">
        <f t="shared" si="3"/>
        <v>1.54881415823855</v>
      </c>
      <c r="H45" s="82">
        <f t="shared" si="4"/>
        <v>6.5824601725138372</v>
      </c>
      <c r="I45" s="102"/>
      <c r="J45" s="38"/>
      <c r="K45" s="38"/>
      <c r="L45" s="38"/>
      <c r="M45" s="98"/>
      <c r="N45" s="99"/>
      <c r="O45" s="100"/>
      <c r="P45" s="101"/>
      <c r="Q45" s="15"/>
      <c r="R45" s="15"/>
      <c r="S45" s="16"/>
      <c r="T45" s="17"/>
      <c r="U45" s="17"/>
      <c r="V45" s="17"/>
    </row>
    <row r="46" spans="1:22" ht="11.1" customHeight="1" x14ac:dyDescent="0.2">
      <c r="A46" s="78">
        <v>2750</v>
      </c>
      <c r="B46" s="79" t="s">
        <v>42</v>
      </c>
      <c r="C46" s="80">
        <v>2000</v>
      </c>
      <c r="D46" s="81">
        <f t="shared" si="0"/>
        <v>4.6749999999999998</v>
      </c>
      <c r="E46" s="81">
        <f t="shared" si="1"/>
        <v>0.76016260162601623</v>
      </c>
      <c r="F46" s="81">
        <f t="shared" si="2"/>
        <v>34.925132912881878</v>
      </c>
      <c r="G46" s="81">
        <f t="shared" si="3"/>
        <v>1.6170217870416999</v>
      </c>
      <c r="H46" s="82">
        <f t="shared" si="4"/>
        <v>7.5595768544199462</v>
      </c>
      <c r="I46" s="102"/>
      <c r="J46" s="38"/>
      <c r="K46" s="38"/>
      <c r="L46" s="38"/>
      <c r="M46" s="98"/>
      <c r="N46" s="99"/>
      <c r="O46" s="100"/>
      <c r="P46" s="101"/>
      <c r="Q46" s="15"/>
      <c r="R46" s="15"/>
      <c r="S46" s="16"/>
      <c r="T46" s="17"/>
      <c r="U46" s="17"/>
      <c r="V46" s="17"/>
    </row>
    <row r="47" spans="1:22" ht="11.1" customHeight="1" x14ac:dyDescent="0.2">
      <c r="A47" s="78">
        <v>3000</v>
      </c>
      <c r="B47" s="79" t="s">
        <v>42</v>
      </c>
      <c r="C47" s="80">
        <v>2000</v>
      </c>
      <c r="D47" s="81">
        <f t="shared" si="0"/>
        <v>5.0999999999999996</v>
      </c>
      <c r="E47" s="81">
        <f t="shared" si="1"/>
        <v>0.79687499999999989</v>
      </c>
      <c r="F47" s="81">
        <f t="shared" si="2"/>
        <v>35.419251961958892</v>
      </c>
      <c r="G47" s="81">
        <f t="shared" si="3"/>
        <v>1.679032258292346</v>
      </c>
      <c r="H47" s="82">
        <f t="shared" si="4"/>
        <v>8.5630645172909645</v>
      </c>
      <c r="I47" s="102"/>
      <c r="J47" s="38"/>
      <c r="K47" s="38"/>
      <c r="L47" s="38"/>
      <c r="M47" s="98"/>
      <c r="N47" s="99"/>
      <c r="O47" s="100"/>
      <c r="P47" s="101"/>
      <c r="Q47" s="15"/>
      <c r="R47" s="15"/>
      <c r="S47" s="16"/>
      <c r="T47" s="17"/>
      <c r="U47" s="17"/>
      <c r="V47" s="17"/>
    </row>
    <row r="48" spans="1:22" ht="11.1" customHeight="1" x14ac:dyDescent="0.2">
      <c r="A48" s="78">
        <v>3250</v>
      </c>
      <c r="B48" s="79" t="s">
        <v>42</v>
      </c>
      <c r="C48" s="80">
        <v>2000</v>
      </c>
      <c r="D48" s="81">
        <f t="shared" si="0"/>
        <v>5.5249999999999995</v>
      </c>
      <c r="E48" s="81">
        <f t="shared" si="1"/>
        <v>0.8308270676691728</v>
      </c>
      <c r="F48" s="81">
        <f t="shared" si="2"/>
        <v>35.858175273081173</v>
      </c>
      <c r="G48" s="81">
        <f t="shared" si="3"/>
        <v>1.7356736023657486</v>
      </c>
      <c r="H48" s="82">
        <f t="shared" si="4"/>
        <v>9.5895966530707604</v>
      </c>
      <c r="I48" s="102"/>
      <c r="J48" s="38"/>
      <c r="K48" s="38"/>
      <c r="L48" s="38"/>
      <c r="M48" s="98"/>
      <c r="N48" s="99"/>
      <c r="O48" s="100"/>
      <c r="P48" s="101"/>
      <c r="Q48" s="15"/>
      <c r="R48" s="15"/>
      <c r="S48" s="16"/>
      <c r="T48" s="17"/>
      <c r="U48" s="17"/>
      <c r="V48" s="17"/>
    </row>
    <row r="49" spans="1:22" ht="11.1" customHeight="1" x14ac:dyDescent="0.2">
      <c r="A49" s="78">
        <v>3000</v>
      </c>
      <c r="B49" s="79" t="s">
        <v>42</v>
      </c>
      <c r="C49" s="80">
        <v>2250</v>
      </c>
      <c r="D49" s="81">
        <f>A49/1000*(C49/1000-$B$14)</f>
        <v>5.85</v>
      </c>
      <c r="E49" s="81">
        <f>D49/(A49/1000+(C49/1000-$B$14)*2)</f>
        <v>0.84782608695652162</v>
      </c>
      <c r="F49" s="81">
        <f>87*SQRT(E49)/(SQRT(E49)+$B$19)</f>
        <v>36.071826634605451</v>
      </c>
      <c r="G49" s="81">
        <f>H49/D49</f>
        <v>1.7637867545225225</v>
      </c>
      <c r="H49" s="82">
        <f>D49*F49*SQRT(E49*$B$15)</f>
        <v>10.318152513956756</v>
      </c>
      <c r="I49" s="102"/>
      <c r="J49" s="38"/>
      <c r="K49" s="38"/>
      <c r="L49" s="38"/>
      <c r="M49" s="98"/>
      <c r="N49" s="99"/>
      <c r="O49" s="100"/>
      <c r="P49" s="101"/>
      <c r="Q49" s="15"/>
      <c r="R49" s="15"/>
      <c r="S49" s="16"/>
      <c r="T49" s="17"/>
      <c r="U49" s="17"/>
      <c r="V49" s="17"/>
    </row>
    <row r="50" spans="1:22" ht="11.1" customHeight="1" x14ac:dyDescent="0.2">
      <c r="A50" s="78">
        <v>3750</v>
      </c>
      <c r="B50" s="79" t="s">
        <v>42</v>
      </c>
      <c r="C50" s="80">
        <v>2000</v>
      </c>
      <c r="D50" s="81">
        <f t="shared" si="0"/>
        <v>6.375</v>
      </c>
      <c r="E50" s="81">
        <f t="shared" si="1"/>
        <v>0.89160839160839156</v>
      </c>
      <c r="F50" s="81">
        <f t="shared" si="2"/>
        <v>36.604548861490933</v>
      </c>
      <c r="G50" s="81">
        <f t="shared" si="3"/>
        <v>1.8354674471749579</v>
      </c>
      <c r="H50" s="82">
        <f t="shared" si="4"/>
        <v>11.701104975740357</v>
      </c>
      <c r="I50" s="102"/>
      <c r="J50" s="38"/>
      <c r="K50" s="38"/>
      <c r="L50" s="38"/>
      <c r="M50" s="98"/>
      <c r="N50" s="99"/>
      <c r="O50" s="100"/>
      <c r="P50" s="101"/>
      <c r="Q50" s="15"/>
      <c r="R50" s="15"/>
      <c r="S50" s="16"/>
      <c r="T50" s="17"/>
      <c r="U50" s="17"/>
      <c r="V50" s="17"/>
    </row>
    <row r="51" spans="1:22" ht="11.1" customHeight="1" x14ac:dyDescent="0.2">
      <c r="A51" s="78">
        <v>4000</v>
      </c>
      <c r="B51" s="79" t="s">
        <v>42</v>
      </c>
      <c r="C51" s="80">
        <v>2000</v>
      </c>
      <c r="D51" s="81">
        <f t="shared" si="0"/>
        <v>6.8</v>
      </c>
      <c r="E51" s="81">
        <f t="shared" si="1"/>
        <v>0.91891891891891886</v>
      </c>
      <c r="F51" s="81">
        <f t="shared" si="2"/>
        <v>36.924789480862486</v>
      </c>
      <c r="G51" s="81">
        <f t="shared" si="3"/>
        <v>1.8796681327153855</v>
      </c>
      <c r="H51" s="82">
        <f t="shared" si="4"/>
        <v>12.781743302464621</v>
      </c>
      <c r="I51" s="102"/>
      <c r="J51" s="38"/>
      <c r="K51" s="38"/>
      <c r="L51" s="38"/>
      <c r="M51" s="98"/>
      <c r="N51" s="99"/>
      <c r="O51" s="100"/>
      <c r="P51" s="101"/>
      <c r="Q51" s="15"/>
      <c r="R51" s="15"/>
      <c r="S51" s="16"/>
      <c r="T51" s="17"/>
      <c r="U51" s="17"/>
      <c r="V51" s="17"/>
    </row>
    <row r="52" spans="1:22" ht="11.1" customHeight="1" x14ac:dyDescent="0.2">
      <c r="A52" s="78">
        <v>3500</v>
      </c>
      <c r="B52" s="79" t="s">
        <v>42</v>
      </c>
      <c r="C52" s="80">
        <v>2250</v>
      </c>
      <c r="D52" s="81">
        <f t="shared" si="0"/>
        <v>6.8250000000000002</v>
      </c>
      <c r="E52" s="81">
        <f t="shared" si="1"/>
        <v>0.92229729729729726</v>
      </c>
      <c r="F52" s="81">
        <f t="shared" si="2"/>
        <v>36.96379137074468</v>
      </c>
      <c r="G52" s="81">
        <f t="shared" si="3"/>
        <v>1.8851092849197231</v>
      </c>
      <c r="H52" s="82">
        <f t="shared" si="4"/>
        <v>12.86587086957711</v>
      </c>
      <c r="I52" s="102"/>
      <c r="J52" s="38"/>
      <c r="K52" s="38"/>
      <c r="L52" s="38"/>
      <c r="M52" s="98"/>
      <c r="N52" s="99"/>
      <c r="O52" s="100"/>
      <c r="P52" s="101"/>
      <c r="Q52" s="15"/>
      <c r="R52" s="15"/>
      <c r="S52" s="16"/>
      <c r="T52" s="17"/>
      <c r="U52" s="17"/>
      <c r="V52" s="17"/>
    </row>
    <row r="53" spans="1:22" ht="11.1" customHeight="1" x14ac:dyDescent="0.2">
      <c r="A53" s="78">
        <v>3750</v>
      </c>
      <c r="B53" s="79" t="s">
        <v>42</v>
      </c>
      <c r="C53" s="80">
        <v>2250</v>
      </c>
      <c r="D53" s="81">
        <f t="shared" si="0"/>
        <v>7.3125</v>
      </c>
      <c r="E53" s="81">
        <f t="shared" si="1"/>
        <v>0.95588235294117641</v>
      </c>
      <c r="F53" s="81">
        <f t="shared" si="2"/>
        <v>37.344479381014118</v>
      </c>
      <c r="G53" s="81">
        <f t="shared" si="3"/>
        <v>1.9388900656948289</v>
      </c>
      <c r="H53" s="82">
        <f t="shared" si="4"/>
        <v>14.178133605393436</v>
      </c>
      <c r="I53" s="102"/>
      <c r="J53" s="38"/>
      <c r="K53" s="38"/>
      <c r="L53" s="38"/>
      <c r="M53" s="98"/>
      <c r="N53" s="99"/>
      <c r="O53" s="100"/>
      <c r="P53" s="101"/>
      <c r="Q53" s="15"/>
      <c r="R53" s="15"/>
      <c r="S53" s="16"/>
      <c r="T53" s="17"/>
      <c r="U53" s="17"/>
      <c r="V53" s="17"/>
    </row>
    <row r="54" spans="1:22" ht="11.1" customHeight="1" x14ac:dyDescent="0.2">
      <c r="A54" s="78">
        <v>4000</v>
      </c>
      <c r="B54" s="79" t="s">
        <v>42</v>
      </c>
      <c r="C54" s="80">
        <v>2200</v>
      </c>
      <c r="D54" s="81">
        <f>A54/1000*(C54/1000-$B$14)</f>
        <v>7.6000000000000005</v>
      </c>
      <c r="E54" s="81">
        <f>D54/(A54/1000+(C54/1000-$B$14)*2)</f>
        <v>0.97435897435897434</v>
      </c>
      <c r="F54" s="81">
        <f>87*SQRT(E54)/(SQRT(E54)+$B$19)</f>
        <v>37.548648395662475</v>
      </c>
      <c r="G54" s="81">
        <f>H54/D54</f>
        <v>1.9682413780464336</v>
      </c>
      <c r="H54" s="82">
        <f>D54*F54*SQRT(E54*$B$15)</f>
        <v>14.958634473152896</v>
      </c>
      <c r="I54" s="102"/>
      <c r="J54" s="38"/>
      <c r="K54" s="38"/>
      <c r="L54" s="38"/>
      <c r="M54" s="98"/>
      <c r="N54" s="99"/>
      <c r="O54" s="100"/>
      <c r="P54" s="101"/>
      <c r="Q54" s="15"/>
      <c r="R54" s="15"/>
      <c r="S54" s="16"/>
      <c r="T54" s="17"/>
      <c r="U54" s="17"/>
      <c r="V54" s="17"/>
    </row>
    <row r="55" spans="1:22" ht="11.1" customHeight="1" x14ac:dyDescent="0.2">
      <c r="A55" s="78">
        <v>4000</v>
      </c>
      <c r="B55" s="79" t="s">
        <v>42</v>
      </c>
      <c r="C55" s="80">
        <v>2250</v>
      </c>
      <c r="D55" s="81">
        <f t="shared" si="0"/>
        <v>7.8</v>
      </c>
      <c r="E55" s="81">
        <f t="shared" si="1"/>
        <v>0.98734177215189867</v>
      </c>
      <c r="F55" s="81">
        <f t="shared" si="2"/>
        <v>37.689964017869947</v>
      </c>
      <c r="G55" s="81">
        <f t="shared" si="3"/>
        <v>1.9887675846401762</v>
      </c>
      <c r="H55" s="82">
        <f t="shared" si="4"/>
        <v>15.512387160193374</v>
      </c>
      <c r="I55" s="102"/>
      <c r="J55" s="38"/>
      <c r="K55" s="38"/>
      <c r="L55" s="38"/>
      <c r="M55" s="98"/>
      <c r="N55" s="99"/>
      <c r="O55" s="100"/>
      <c r="P55" s="101"/>
      <c r="Q55" s="15"/>
      <c r="R55" s="15"/>
      <c r="S55" s="16"/>
      <c r="T55" s="17"/>
      <c r="U55" s="17"/>
      <c r="V55" s="17"/>
    </row>
    <row r="56" spans="1:22" ht="11.1" customHeight="1" x14ac:dyDescent="0.2">
      <c r="A56" s="78">
        <v>4000</v>
      </c>
      <c r="B56" s="79" t="s">
        <v>42</v>
      </c>
      <c r="C56" s="80">
        <v>2500</v>
      </c>
      <c r="D56" s="81">
        <f t="shared" si="0"/>
        <v>8.8000000000000007</v>
      </c>
      <c r="E56" s="81">
        <f t="shared" si="1"/>
        <v>1.0476190476190477</v>
      </c>
      <c r="F56" s="81">
        <f t="shared" si="2"/>
        <v>38.324118082220089</v>
      </c>
      <c r="G56" s="81">
        <f t="shared" si="3"/>
        <v>2.0830438714881145</v>
      </c>
      <c r="H56" s="82">
        <f t="shared" si="4"/>
        <v>18.33078606909541</v>
      </c>
      <c r="I56" s="102"/>
      <c r="J56" s="38"/>
      <c r="K56" s="38"/>
      <c r="L56" s="38"/>
      <c r="M56" s="98"/>
      <c r="N56" s="99"/>
      <c r="O56" s="100"/>
      <c r="P56" s="101"/>
      <c r="Q56" s="15"/>
      <c r="R56" s="15"/>
      <c r="S56" s="16"/>
      <c r="T56" s="17"/>
      <c r="U56" s="17"/>
      <c r="V56" s="17"/>
    </row>
    <row r="57" spans="1:22" ht="11.1" customHeight="1" x14ac:dyDescent="0.2">
      <c r="A57" s="78">
        <v>4500</v>
      </c>
      <c r="B57" s="79" t="s">
        <v>42</v>
      </c>
      <c r="C57" s="80">
        <v>2500</v>
      </c>
      <c r="D57" s="81">
        <f t="shared" si="0"/>
        <v>9.9</v>
      </c>
      <c r="E57" s="81">
        <f t="shared" si="1"/>
        <v>1.1123595505617978</v>
      </c>
      <c r="F57" s="81">
        <f t="shared" si="2"/>
        <v>38.968088953202574</v>
      </c>
      <c r="G57" s="81">
        <f t="shared" si="3"/>
        <v>2.1825100693788162</v>
      </c>
      <c r="H57" s="82">
        <f t="shared" si="4"/>
        <v>21.606849686850282</v>
      </c>
      <c r="I57" s="102"/>
      <c r="J57" s="38"/>
      <c r="K57" s="38"/>
      <c r="L57" s="38"/>
      <c r="M57" s="98"/>
      <c r="N57" s="99"/>
      <c r="O57" s="100"/>
      <c r="P57" s="101"/>
      <c r="Q57" s="15"/>
      <c r="R57" s="15"/>
      <c r="S57" s="16"/>
      <c r="T57" s="17"/>
      <c r="U57" s="17"/>
      <c r="V57" s="17"/>
    </row>
    <row r="58" spans="1:22" ht="11.1" customHeight="1" x14ac:dyDescent="0.2">
      <c r="A58" s="78">
        <v>5000</v>
      </c>
      <c r="B58" s="79" t="s">
        <v>42</v>
      </c>
      <c r="C58" s="80">
        <v>3000</v>
      </c>
      <c r="D58" s="81">
        <f t="shared" si="0"/>
        <v>13.5</v>
      </c>
      <c r="E58" s="81">
        <f t="shared" si="1"/>
        <v>1.2980769230769231</v>
      </c>
      <c r="F58" s="81">
        <f t="shared" si="2"/>
        <v>40.634843542886045</v>
      </c>
      <c r="G58" s="81">
        <f t="shared" si="3"/>
        <v>2.4585178208856129</v>
      </c>
      <c r="H58" s="82">
        <f t="shared" si="4"/>
        <v>33.189990581955776</v>
      </c>
      <c r="I58" s="102"/>
      <c r="J58" s="38"/>
      <c r="K58" s="38"/>
      <c r="L58" s="38"/>
      <c r="M58" s="98"/>
      <c r="N58" s="99"/>
      <c r="O58" s="100"/>
      <c r="P58" s="101"/>
      <c r="Q58" s="15"/>
      <c r="R58" s="15"/>
      <c r="S58" s="16"/>
      <c r="T58" s="17"/>
      <c r="U58" s="17"/>
      <c r="V58" s="17"/>
    </row>
    <row r="59" spans="1:22" ht="11.1" customHeight="1" x14ac:dyDescent="0.2">
      <c r="A59" s="83">
        <v>6000</v>
      </c>
      <c r="B59" s="84" t="s">
        <v>42</v>
      </c>
      <c r="C59" s="85">
        <v>3000</v>
      </c>
      <c r="D59" s="81">
        <f t="shared" si="0"/>
        <v>16.200000000000003</v>
      </c>
      <c r="E59" s="81">
        <f t="shared" si="1"/>
        <v>1.4210526315789476</v>
      </c>
      <c r="F59" s="81">
        <f t="shared" si="2"/>
        <v>41.616208197136082</v>
      </c>
      <c r="G59" s="81">
        <f t="shared" si="3"/>
        <v>2.6344632417211638</v>
      </c>
      <c r="H59" s="82">
        <f t="shared" si="4"/>
        <v>42.678304515882857</v>
      </c>
      <c r="I59" s="102"/>
      <c r="J59" s="38"/>
      <c r="K59" s="38"/>
      <c r="L59" s="38"/>
      <c r="M59" s="98"/>
      <c r="N59" s="99"/>
      <c r="O59" s="100"/>
      <c r="P59" s="101"/>
      <c r="Q59" s="15"/>
      <c r="R59" s="15"/>
      <c r="S59" s="16"/>
      <c r="T59" s="17"/>
      <c r="U59" s="17"/>
      <c r="V59" s="17"/>
    </row>
    <row r="60" spans="1:22" ht="15.75" customHeight="1" x14ac:dyDescent="0.2">
      <c r="A60" s="41" t="s">
        <v>78</v>
      </c>
      <c r="B60" s="86"/>
      <c r="C60" s="86"/>
      <c r="D60" s="48"/>
      <c r="E60" s="48"/>
      <c r="F60" s="48"/>
      <c r="G60" s="48"/>
      <c r="H60" s="87"/>
      <c r="I60" s="87"/>
      <c r="J60" s="38"/>
      <c r="K60" s="38"/>
      <c r="L60" s="38"/>
      <c r="M60" s="98"/>
      <c r="N60" s="99"/>
      <c r="O60" s="100"/>
      <c r="P60" s="101"/>
      <c r="Q60" s="15"/>
      <c r="R60" s="15"/>
      <c r="S60" s="16"/>
      <c r="T60" s="17"/>
      <c r="U60" s="17"/>
      <c r="V60" s="17"/>
    </row>
    <row r="61" spans="1:22" ht="15.95" customHeight="1" x14ac:dyDescent="0.2">
      <c r="A61" s="88">
        <v>1900</v>
      </c>
      <c r="B61" s="89" t="s">
        <v>42</v>
      </c>
      <c r="C61" s="90">
        <v>1500</v>
      </c>
      <c r="D61" s="91">
        <f>A61/1000*(C61/1000-$B$14)</f>
        <v>2.2799999999999998</v>
      </c>
      <c r="E61" s="91">
        <f>D61/(A61/1000+(C61/1000-$B$14)*2)</f>
        <v>0.53023255813953485</v>
      </c>
      <c r="F61" s="91">
        <f>87*SQRT(E61)/(SQRT(E61)+$B$19)</f>
        <v>31.23546282838689</v>
      </c>
      <c r="G61" s="91">
        <f>H61/D61</f>
        <v>1.2078296744189954</v>
      </c>
      <c r="H61" s="92">
        <f>D61*F61*SQRT(E61*$B$15)</f>
        <v>2.7538516576753089</v>
      </c>
      <c r="I61" s="175"/>
      <c r="J61" s="38"/>
      <c r="K61" s="38"/>
      <c r="L61" s="38"/>
      <c r="M61" s="98"/>
      <c r="N61" s="99" t="s">
        <v>79</v>
      </c>
      <c r="O61" s="100"/>
      <c r="P61" s="101"/>
      <c r="Q61" s="15"/>
      <c r="R61" s="15"/>
      <c r="S61" s="16"/>
      <c r="T61" s="17"/>
      <c r="U61" s="17"/>
      <c r="V61" s="17"/>
    </row>
    <row r="62" spans="1:22" ht="18" customHeight="1" x14ac:dyDescent="0.2">
      <c r="A62" s="93" t="s">
        <v>77</v>
      </c>
      <c r="B62" s="31"/>
      <c r="C62" s="94"/>
      <c r="D62" s="95"/>
      <c r="E62" s="95"/>
      <c r="F62" s="95"/>
      <c r="G62" s="95"/>
      <c r="H62" s="87"/>
      <c r="I62" s="87"/>
      <c r="J62" s="38"/>
      <c r="K62" s="38"/>
      <c r="L62" s="93"/>
      <c r="M62" s="98"/>
      <c r="N62" s="107" t="b">
        <v>1</v>
      </c>
      <c r="O62" s="100"/>
      <c r="P62" s="101"/>
      <c r="Q62" s="15"/>
      <c r="R62" s="15"/>
      <c r="S62" s="16"/>
      <c r="T62" s="17"/>
      <c r="U62" s="17"/>
      <c r="V62" s="17"/>
    </row>
    <row r="63" spans="1:22" ht="18" customHeight="1" x14ac:dyDescent="0.2">
      <c r="A63" s="41"/>
      <c r="B63" s="45"/>
      <c r="C63" s="41"/>
      <c r="D63" s="155" t="s">
        <v>115</v>
      </c>
      <c r="E63" s="53"/>
      <c r="F63" s="55"/>
      <c r="G63" s="56"/>
      <c r="H63" s="53"/>
      <c r="I63" s="53"/>
      <c r="J63" s="38"/>
      <c r="L63" s="23"/>
      <c r="M63" s="13"/>
      <c r="N63" s="10"/>
      <c r="O63" s="14"/>
      <c r="P63" s="15"/>
      <c r="Q63" s="15"/>
      <c r="R63" s="15"/>
      <c r="S63" s="16"/>
      <c r="T63" s="17"/>
      <c r="U63" s="17"/>
      <c r="V63" s="17"/>
    </row>
    <row r="64" spans="1:22" ht="17.100000000000001" customHeight="1" x14ac:dyDescent="0.2">
      <c r="A64" s="41"/>
      <c r="B64" s="45"/>
      <c r="C64" s="41"/>
      <c r="D64" s="155"/>
      <c r="E64" s="53"/>
      <c r="F64" s="55"/>
      <c r="G64" s="56"/>
      <c r="H64" s="53"/>
      <c r="I64" s="53"/>
      <c r="J64" s="38"/>
      <c r="L64" s="23"/>
      <c r="M64" s="13"/>
      <c r="N64" s="10"/>
      <c r="O64" s="14"/>
      <c r="P64" s="15"/>
      <c r="Q64" s="15"/>
      <c r="R64" s="15"/>
      <c r="S64" s="16"/>
      <c r="T64" s="17"/>
      <c r="U64" s="17"/>
      <c r="V64" s="17"/>
    </row>
    <row r="65" spans="1:22" ht="17.100000000000001" customHeight="1" x14ac:dyDescent="0.3">
      <c r="A65" s="41" t="s">
        <v>88</v>
      </c>
      <c r="B65" s="45">
        <f>'Sezione '!B42</f>
        <v>5.202035736223638</v>
      </c>
      <c r="C65" s="41" t="s">
        <v>17</v>
      </c>
      <c r="D65" s="95"/>
      <c r="E65" s="41"/>
      <c r="F65" s="55"/>
      <c r="G65" s="56"/>
      <c r="H65" s="53"/>
      <c r="I65" s="12"/>
      <c r="M65" s="13"/>
      <c r="N65" s="10"/>
      <c r="O65" s="14"/>
      <c r="P65" s="15"/>
      <c r="Q65" s="15"/>
      <c r="R65" s="15"/>
      <c r="S65" s="16"/>
      <c r="T65" s="17"/>
      <c r="U65" s="17"/>
      <c r="V65" s="17"/>
    </row>
    <row r="66" spans="1:22" ht="17.100000000000001" customHeight="1" x14ac:dyDescent="0.3">
      <c r="A66" s="148" t="s">
        <v>144</v>
      </c>
      <c r="B66" s="119">
        <f>IF($N$62,'Calcolo portata Atot&gt;1 Kmq'!$B$96,'Calcolo portata Atot&lt;1 Kmq'!$B$96)</f>
        <v>2.4100165385131351</v>
      </c>
      <c r="C66" s="41" t="s">
        <v>17</v>
      </c>
      <c r="D66" s="95"/>
      <c r="E66" s="41" t="str">
        <f>IF((B66&lt;H61),"Scatolare verificato alla Q 10","Scatolare non verificato alla Q 10")</f>
        <v>Scatolare verificato alla Q 10</v>
      </c>
      <c r="F66" s="55"/>
      <c r="G66" s="56"/>
      <c r="H66" s="53"/>
      <c r="I66" s="174"/>
      <c r="M66" s="13"/>
      <c r="N66" s="10"/>
      <c r="O66" s="14"/>
      <c r="P66" s="15"/>
      <c r="Q66" s="15"/>
      <c r="R66" s="15"/>
      <c r="S66" s="16"/>
      <c r="T66" s="17"/>
      <c r="U66" s="17"/>
      <c r="V66" s="17"/>
    </row>
    <row r="67" spans="1:22" ht="17.100000000000001" customHeight="1" x14ac:dyDescent="0.3">
      <c r="A67" s="148" t="s">
        <v>166</v>
      </c>
      <c r="B67" s="119">
        <f>IF($N$62,'Calcolo portata Atot&gt;1 Kmq'!$B$97,'Calcolo portata Atot&lt;1 Kmq'!$B$97)</f>
        <v>3.4126764953162132</v>
      </c>
      <c r="C67" s="41" t="s">
        <v>17</v>
      </c>
      <c r="D67" s="48"/>
      <c r="E67" s="41" t="str">
        <f>IF((B67&lt;H61)," Scatolare verificato alla Q 30","Scatolare non verificato alla Q 30")</f>
        <v>Scatolare non verificato alla Q 30</v>
      </c>
      <c r="F67" s="48"/>
      <c r="G67" s="48"/>
      <c r="H67" s="87"/>
      <c r="I67" s="174"/>
      <c r="J67" s="2"/>
      <c r="M67" s="13"/>
      <c r="N67" s="10"/>
      <c r="O67" s="14"/>
      <c r="P67" s="15"/>
      <c r="Q67" s="15"/>
      <c r="R67" s="15"/>
      <c r="S67" s="16"/>
      <c r="T67" s="17"/>
      <c r="U67" s="17"/>
      <c r="V67" s="17"/>
    </row>
    <row r="68" spans="1:22" ht="17.100000000000001" customHeight="1" x14ac:dyDescent="0.3">
      <c r="A68" s="148" t="s">
        <v>167</v>
      </c>
      <c r="B68" s="119">
        <f>IF($N$62,'Calcolo portata Atot&gt;1 Kmq'!$B$98,'Calcolo portata Atot&lt;1 Kmq'!$B$98)</f>
        <v>3.8810830731047128</v>
      </c>
      <c r="C68" s="41" t="s">
        <v>17</v>
      </c>
      <c r="D68" s="37"/>
      <c r="E68" s="41" t="str">
        <f>IF((B68&lt;H61)," Scatolare verificato alla Q 50","Scatolare non verificato alla Q 50")</f>
        <v>Scatolare non verificato alla Q 50</v>
      </c>
      <c r="F68" s="37"/>
      <c r="G68" s="37"/>
      <c r="H68" s="37"/>
      <c r="I68" s="174"/>
      <c r="J68" s="2"/>
      <c r="Q68" s="15"/>
      <c r="R68" s="15"/>
      <c r="S68" s="16"/>
      <c r="T68" s="17"/>
      <c r="U68" s="17"/>
      <c r="V68" s="17"/>
    </row>
    <row r="69" spans="1:22" ht="17.100000000000001" customHeight="1" x14ac:dyDescent="0.3">
      <c r="A69" s="148" t="s">
        <v>168</v>
      </c>
      <c r="B69" s="119">
        <f>IF($N$62,'Calcolo portata Atot&gt;1 Kmq'!$B$99,'Calcolo portata Atot&lt;1 Kmq'!$B$99)</f>
        <v>4.9517266794784272</v>
      </c>
      <c r="C69" s="41" t="s">
        <v>17</v>
      </c>
      <c r="E69" s="41" t="str">
        <f>IF((B69&lt;H61)," Scatolare verificato alla Q 200","Scatolare non verificato alla Q 200")</f>
        <v>Scatolare non verificato alla Q 200</v>
      </c>
      <c r="I69" s="174"/>
    </row>
    <row r="70" spans="1:22" ht="15" customHeight="1" x14ac:dyDescent="0.2"/>
    <row r="71" spans="1:22" ht="15" customHeight="1" x14ac:dyDescent="0.2"/>
    <row r="72" spans="1:22" ht="15" customHeight="1" x14ac:dyDescent="0.2"/>
    <row r="73" spans="1:22" ht="15" customHeight="1" x14ac:dyDescent="0.2"/>
    <row r="74" spans="1:22" ht="15" customHeight="1" x14ac:dyDescent="0.2"/>
    <row r="75" spans="1:22" ht="15" customHeight="1" x14ac:dyDescent="0.2"/>
    <row r="76" spans="1:22" ht="15" customHeight="1" x14ac:dyDescent="0.2"/>
    <row r="77" spans="1:22" ht="15" customHeight="1" x14ac:dyDescent="0.2"/>
    <row r="78" spans="1:22" ht="15" customHeight="1" x14ac:dyDescent="0.2"/>
    <row r="79" spans="1:22" ht="15" customHeight="1" x14ac:dyDescent="0.2"/>
    <row r="80" spans="1:22" ht="15" customHeight="1" x14ac:dyDescent="0.2"/>
    <row r="81" ht="15" customHeight="1" x14ac:dyDescent="0.2"/>
    <row r="84" ht="12.75" customHeight="1" x14ac:dyDescent="0.2"/>
  </sheetData>
  <mergeCells count="3">
    <mergeCell ref="A3:H3"/>
    <mergeCell ref="A6:H6"/>
    <mergeCell ref="A21:H21"/>
  </mergeCells>
  <phoneticPr fontId="0" type="noConversion"/>
  <conditionalFormatting sqref="I66:I69">
    <cfRule type="expression" dxfId="3" priority="1">
      <formula>$H$61&gt;$B66</formula>
    </cfRule>
    <cfRule type="expression" dxfId="2" priority="2">
      <formula>$H$61&lt;$B66</formula>
    </cfRule>
  </conditionalFormatting>
  <printOptions horizontalCentered="1" verticalCentered="1" gridLinesSet="0"/>
  <pageMargins left="0.78740157480314965" right="0.78740157480314965" top="0.39370078740157483" bottom="0.39370078740157483" header="0.19685039370078741" footer="0.19685039370078741"/>
  <pageSetup paperSize="9" scale="81" orientation="portrait" horizontalDpi="4294967293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2" shapeId="44035" r:id="rId4">
          <objectPr defaultSize="0" autoLine="0" autoPict="0" r:id="rId5">
            <anchor moveWithCells="1">
              <from>
                <xdr:col>0</xdr:col>
                <xdr:colOff>57150</xdr:colOff>
                <xdr:row>8</xdr:row>
                <xdr:rowOff>47625</xdr:rowOff>
              </from>
              <to>
                <xdr:col>1</xdr:col>
                <xdr:colOff>190500</xdr:colOff>
                <xdr:row>12</xdr:row>
                <xdr:rowOff>85725</xdr:rowOff>
              </to>
            </anchor>
          </objectPr>
        </oleObject>
      </mc:Choice>
      <mc:Fallback>
        <oleObject progId="Equation.2" shapeId="44035" r:id="rId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4" r:id="rId6" name="Drop Down 2">
              <controlPr defaultSize="0" autoLine="0" autoPict="0">
                <anchor moveWithCells="1">
                  <from>
                    <xdr:col>0</xdr:col>
                    <xdr:colOff>28575</xdr:colOff>
                    <xdr:row>16</xdr:row>
                    <xdr:rowOff>0</xdr:rowOff>
                  </from>
                  <to>
                    <xdr:col>7</xdr:col>
                    <xdr:colOff>800100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0" r:id="rId7" name="Check Box 8">
              <controlPr defaultSize="0" autoFill="0" autoLine="0" autoPict="0">
                <anchor moveWithCells="1">
                  <from>
                    <xdr:col>0</xdr:col>
                    <xdr:colOff>0</xdr:colOff>
                    <xdr:row>62</xdr:row>
                    <xdr:rowOff>19050</xdr:rowOff>
                  </from>
                  <to>
                    <xdr:col>2</xdr:col>
                    <xdr:colOff>95250</xdr:colOff>
                    <xdr:row>63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64"/>
  <sheetViews>
    <sheetView showGridLines="0" view="pageBreakPreview" topLeftCell="A5" zoomScaleNormal="100" zoomScaleSheetLayoutView="100" workbookViewId="0">
      <selection activeCell="AB14" sqref="AB14"/>
    </sheetView>
  </sheetViews>
  <sheetFormatPr defaultRowHeight="12.75" x14ac:dyDescent="0.2"/>
  <cols>
    <col min="1" max="1" width="13.7109375" customWidth="1"/>
    <col min="2" max="2" width="10.7109375" customWidth="1"/>
    <col min="7" max="7" width="10.140625" customWidth="1"/>
    <col min="8" max="8" width="9.85546875" customWidth="1"/>
    <col min="9" max="9" width="3.7109375" customWidth="1"/>
    <col min="10" max="10" width="10.7109375" customWidth="1"/>
    <col min="11" max="11" width="7.7109375" hidden="1" customWidth="1"/>
    <col min="12" max="12" width="75.5703125" hidden="1" customWidth="1"/>
    <col min="13" max="16" width="9.140625" hidden="1" customWidth="1"/>
  </cols>
  <sheetData>
    <row r="1" spans="1:22" ht="63.75" customHeight="1" x14ac:dyDescent="0.2"/>
    <row r="2" spans="1:22" ht="16.5" customHeight="1" x14ac:dyDescent="0.2">
      <c r="A2" s="38"/>
      <c r="B2" s="38"/>
      <c r="C2" s="38"/>
      <c r="D2" s="38"/>
      <c r="E2" s="38"/>
      <c r="F2" s="38"/>
      <c r="G2" s="120" t="s">
        <v>116</v>
      </c>
      <c r="H2" s="38"/>
      <c r="I2" s="38"/>
      <c r="J2" s="38"/>
      <c r="K2" s="38"/>
      <c r="L2" s="38"/>
      <c r="M2" s="38"/>
      <c r="N2" s="38"/>
      <c r="O2" s="38"/>
      <c r="P2" s="38"/>
    </row>
    <row r="3" spans="1:22" ht="15" x14ac:dyDescent="0.25">
      <c r="A3" s="116" t="s">
        <v>96</v>
      </c>
      <c r="B3" s="116"/>
      <c r="C3" s="11"/>
      <c r="D3" s="118" t="s">
        <v>114</v>
      </c>
      <c r="E3" s="116"/>
      <c r="F3" s="116"/>
      <c r="G3" s="116"/>
      <c r="H3" s="116"/>
      <c r="I3" s="32"/>
      <c r="J3" s="96"/>
      <c r="K3" s="29">
        <v>1</v>
      </c>
      <c r="L3" s="29" t="s">
        <v>47</v>
      </c>
      <c r="M3" s="59">
        <v>0.36</v>
      </c>
      <c r="N3" s="38"/>
      <c r="O3" s="60">
        <v>3</v>
      </c>
      <c r="P3" s="38"/>
    </row>
    <row r="4" spans="1:22" ht="18.75" x14ac:dyDescent="0.35">
      <c r="A4" s="180" t="s">
        <v>74</v>
      </c>
      <c r="B4" s="180"/>
      <c r="C4" s="180"/>
      <c r="D4" s="180"/>
      <c r="E4" s="180"/>
      <c r="F4" s="180"/>
      <c r="G4" s="180"/>
      <c r="H4" s="180"/>
      <c r="I4" s="32"/>
      <c r="J4" s="96"/>
      <c r="K4" s="29">
        <v>2</v>
      </c>
      <c r="L4" s="29" t="s">
        <v>48</v>
      </c>
      <c r="M4" s="59">
        <v>0.46</v>
      </c>
      <c r="N4" s="38"/>
      <c r="O4" s="97"/>
      <c r="P4" s="38"/>
    </row>
    <row r="5" spans="1:22" ht="15" x14ac:dyDescent="0.25">
      <c r="A5" s="183" t="s">
        <v>146</v>
      </c>
      <c r="B5" s="183"/>
      <c r="C5" s="183"/>
      <c r="D5" s="183"/>
      <c r="E5" s="183"/>
      <c r="F5" s="183"/>
      <c r="G5" s="183"/>
      <c r="H5" s="183"/>
      <c r="I5" s="63"/>
      <c r="J5" s="33"/>
      <c r="K5" s="29">
        <v>3</v>
      </c>
      <c r="L5" s="29" t="s">
        <v>49</v>
      </c>
      <c r="M5" s="59">
        <v>0.85</v>
      </c>
      <c r="N5" s="38"/>
      <c r="O5" s="51"/>
      <c r="P5" s="38"/>
      <c r="Q5" s="17"/>
      <c r="R5" s="17"/>
      <c r="S5" s="17"/>
      <c r="T5" s="17"/>
      <c r="U5" s="17"/>
      <c r="V5" s="17"/>
    </row>
    <row r="6" spans="1:22" ht="15" x14ac:dyDescent="0.25">
      <c r="A6" s="63"/>
      <c r="B6" s="63"/>
      <c r="C6" s="63"/>
      <c r="D6" s="63"/>
      <c r="E6" s="63"/>
      <c r="F6" s="63"/>
      <c r="G6" s="63"/>
      <c r="H6" s="63"/>
      <c r="I6" s="63"/>
      <c r="J6" s="33"/>
      <c r="K6" s="29">
        <v>4</v>
      </c>
      <c r="L6" s="29" t="s">
        <v>50</v>
      </c>
      <c r="M6" s="59">
        <v>1</v>
      </c>
      <c r="N6" s="38"/>
      <c r="O6" s="38"/>
      <c r="P6" s="38"/>
      <c r="Q6" s="17"/>
      <c r="R6" s="17"/>
      <c r="S6" s="17"/>
      <c r="T6" s="17"/>
      <c r="U6" s="17"/>
      <c r="V6" s="17"/>
    </row>
    <row r="7" spans="1:22" ht="15" x14ac:dyDescent="0.25">
      <c r="A7" s="36" t="s">
        <v>0</v>
      </c>
      <c r="B7" s="63"/>
      <c r="C7" s="64"/>
      <c r="D7" s="64"/>
      <c r="E7" s="64"/>
      <c r="F7" s="63"/>
      <c r="G7" s="63"/>
      <c r="H7" s="63"/>
      <c r="I7" s="63"/>
      <c r="J7" s="33"/>
      <c r="K7" s="29">
        <v>5</v>
      </c>
      <c r="L7" s="29" t="s">
        <v>51</v>
      </c>
      <c r="M7" s="59">
        <v>1.3</v>
      </c>
      <c r="N7" s="38"/>
      <c r="O7" s="38"/>
      <c r="P7" s="38"/>
      <c r="Q7" s="18"/>
      <c r="R7" s="18"/>
      <c r="S7" s="19"/>
      <c r="T7" s="17"/>
      <c r="U7" s="17"/>
      <c r="V7" s="17"/>
    </row>
    <row r="8" spans="1:22" ht="15" x14ac:dyDescent="0.25">
      <c r="A8" s="63"/>
      <c r="B8" s="63"/>
      <c r="C8" s="37" t="s">
        <v>14</v>
      </c>
      <c r="D8" s="37"/>
      <c r="F8" s="29"/>
      <c r="G8" s="29"/>
      <c r="H8" s="63"/>
      <c r="I8" s="63"/>
      <c r="J8" s="33"/>
      <c r="K8" s="29">
        <v>6</v>
      </c>
      <c r="L8" s="29" t="s">
        <v>52</v>
      </c>
      <c r="M8" s="59">
        <v>1.75</v>
      </c>
      <c r="N8" s="38"/>
      <c r="O8" s="38"/>
      <c r="P8" s="38"/>
      <c r="Q8" s="15"/>
      <c r="R8" s="15"/>
      <c r="S8" s="16"/>
      <c r="T8" s="17"/>
      <c r="U8" s="20"/>
      <c r="V8" s="17"/>
    </row>
    <row r="9" spans="1:22" ht="15" x14ac:dyDescent="0.25">
      <c r="A9" s="63"/>
      <c r="B9" s="63"/>
      <c r="C9" s="37" t="s">
        <v>2</v>
      </c>
      <c r="D9" s="37"/>
      <c r="F9" s="29"/>
      <c r="G9" s="29"/>
      <c r="H9" s="63"/>
      <c r="I9" s="63"/>
      <c r="J9" s="33"/>
      <c r="K9" s="29">
        <v>7</v>
      </c>
      <c r="L9" s="29" t="s">
        <v>53</v>
      </c>
      <c r="M9" s="59">
        <v>2.2999999999999998</v>
      </c>
      <c r="N9" s="38"/>
      <c r="O9" s="38"/>
      <c r="P9" s="38"/>
      <c r="Q9" s="15"/>
      <c r="R9" s="15"/>
      <c r="S9" s="16"/>
      <c r="T9" s="17"/>
      <c r="U9" s="20"/>
      <c r="V9" s="17"/>
    </row>
    <row r="10" spans="1:22" ht="15" x14ac:dyDescent="0.25">
      <c r="A10" s="63"/>
      <c r="B10" s="63"/>
      <c r="C10" s="37" t="s">
        <v>4</v>
      </c>
      <c r="D10" s="37"/>
      <c r="F10" s="29"/>
      <c r="G10" s="29"/>
      <c r="H10" s="63"/>
      <c r="I10" s="63"/>
      <c r="J10" s="33"/>
      <c r="K10" s="38"/>
      <c r="L10" s="38"/>
      <c r="M10" s="38"/>
      <c r="N10" s="38"/>
      <c r="O10" s="38"/>
      <c r="P10" s="38"/>
      <c r="Q10" s="15"/>
      <c r="R10" s="15"/>
      <c r="S10" s="16"/>
      <c r="T10" s="17"/>
      <c r="U10" s="20"/>
      <c r="V10" s="17"/>
    </row>
    <row r="11" spans="1:22" ht="15" x14ac:dyDescent="0.25">
      <c r="A11" s="63"/>
      <c r="B11" s="63"/>
      <c r="C11" s="37" t="s">
        <v>15</v>
      </c>
      <c r="D11" s="37"/>
      <c r="F11" s="29"/>
      <c r="G11" s="29"/>
      <c r="H11" s="63"/>
      <c r="I11" s="63"/>
      <c r="J11" s="33"/>
      <c r="K11" s="38"/>
      <c r="L11" s="38"/>
      <c r="M11" s="98"/>
      <c r="N11" s="99"/>
      <c r="O11" s="100"/>
      <c r="P11" s="101"/>
      <c r="Q11" s="15"/>
      <c r="R11" s="15"/>
      <c r="S11" s="16"/>
      <c r="T11" s="17"/>
      <c r="U11" s="20"/>
      <c r="V11" s="17"/>
    </row>
    <row r="12" spans="1:22" ht="15" x14ac:dyDescent="0.25">
      <c r="A12" s="66"/>
      <c r="B12" s="67"/>
      <c r="C12" s="40" t="s">
        <v>87</v>
      </c>
      <c r="D12" s="65"/>
      <c r="F12" s="65"/>
      <c r="G12" s="65"/>
      <c r="H12" s="67"/>
      <c r="I12" s="67"/>
      <c r="J12" s="29"/>
      <c r="K12" s="38"/>
      <c r="L12" s="38"/>
      <c r="M12" s="98"/>
      <c r="N12" s="99"/>
      <c r="O12" s="100"/>
      <c r="P12" s="101"/>
      <c r="Q12" s="15"/>
      <c r="R12" s="15"/>
      <c r="S12" s="16"/>
      <c r="T12" s="17"/>
      <c r="U12" s="20"/>
      <c r="V12" s="17"/>
    </row>
    <row r="13" spans="1:22" ht="21" customHeight="1" x14ac:dyDescent="0.25">
      <c r="A13" s="37" t="s">
        <v>11</v>
      </c>
      <c r="B13" s="43">
        <v>2.82E-3</v>
      </c>
      <c r="C13" s="37" t="s">
        <v>38</v>
      </c>
      <c r="D13" s="67"/>
      <c r="E13" s="67"/>
      <c r="F13" s="67"/>
      <c r="G13" s="67"/>
      <c r="H13" s="67"/>
      <c r="I13" s="67"/>
      <c r="J13" s="29"/>
      <c r="K13" s="38"/>
      <c r="L13" s="38"/>
      <c r="M13" s="98"/>
      <c r="N13" s="99"/>
      <c r="O13" s="100"/>
      <c r="P13" s="101"/>
      <c r="Q13" s="15"/>
      <c r="R13" s="15"/>
      <c r="S13" s="16"/>
      <c r="T13" s="17"/>
      <c r="U13" s="20"/>
      <c r="V13" s="17"/>
    </row>
    <row r="14" spans="1:22" ht="15" x14ac:dyDescent="0.25">
      <c r="A14" s="67"/>
      <c r="B14" s="67"/>
      <c r="C14" s="67"/>
      <c r="D14" s="67"/>
      <c r="E14" s="67"/>
      <c r="F14" s="67"/>
      <c r="G14" s="67"/>
      <c r="H14" s="67"/>
      <c r="I14" s="67"/>
      <c r="J14" s="29"/>
      <c r="K14" s="38"/>
      <c r="L14" s="38"/>
      <c r="M14" s="98"/>
      <c r="N14" s="99"/>
      <c r="O14" s="100"/>
      <c r="P14" s="101"/>
      <c r="Q14" s="15"/>
      <c r="R14" s="15"/>
      <c r="S14" s="16"/>
      <c r="T14" s="17"/>
      <c r="U14" s="20"/>
      <c r="V14" s="17"/>
    </row>
    <row r="15" spans="1:22" ht="14.25" x14ac:dyDescent="0.2">
      <c r="A15" s="69"/>
      <c r="B15" s="69"/>
      <c r="C15" s="70"/>
      <c r="D15" s="69"/>
      <c r="E15" s="69"/>
      <c r="F15" s="69"/>
      <c r="G15" s="69"/>
      <c r="H15" s="69"/>
      <c r="I15" s="69"/>
      <c r="J15" s="38"/>
      <c r="K15" s="38"/>
      <c r="L15" s="38"/>
      <c r="M15" s="98"/>
      <c r="N15" s="99"/>
      <c r="O15" s="100"/>
      <c r="P15" s="101"/>
      <c r="Q15" s="15"/>
      <c r="R15" s="15"/>
      <c r="S15" s="16"/>
      <c r="T15" s="17"/>
      <c r="U15" s="20"/>
      <c r="V15" s="17"/>
    </row>
    <row r="16" spans="1:22" ht="14.25" x14ac:dyDescent="0.2">
      <c r="A16" s="69"/>
      <c r="B16" s="69"/>
      <c r="C16" s="70"/>
      <c r="D16" s="69"/>
      <c r="E16" s="69"/>
      <c r="F16" s="69"/>
      <c r="G16" s="69"/>
      <c r="H16" s="69"/>
      <c r="I16" s="69"/>
      <c r="J16" s="38"/>
      <c r="K16" s="38"/>
      <c r="L16" s="38"/>
      <c r="M16" s="98"/>
      <c r="N16" s="99"/>
      <c r="O16" s="100"/>
      <c r="P16" s="101"/>
      <c r="Q16" s="15"/>
      <c r="R16" s="15"/>
      <c r="S16" s="16"/>
      <c r="T16" s="17"/>
      <c r="U16" s="20"/>
      <c r="V16" s="17"/>
    </row>
    <row r="17" spans="1:22" ht="15" x14ac:dyDescent="0.25">
      <c r="A17" s="71" t="s">
        <v>76</v>
      </c>
      <c r="B17" s="48">
        <f>IF($O$3=$K$3,$M$3,IF($O$3=$K$4,$M$4,IF($O$3=$K$5,$M$5,IF($O$3=$K$6,$M$6,IF($O$3=$K$7,$M$7,IF($O$3=$K$8,$M$8,IF($O$3=$K$9,$M$9,"errore")))))))</f>
        <v>0.85</v>
      </c>
      <c r="C17" s="37" t="s">
        <v>84</v>
      </c>
      <c r="D17" t="s">
        <v>149</v>
      </c>
      <c r="E17" s="69"/>
      <c r="F17" s="69"/>
      <c r="G17" s="69"/>
      <c r="H17" s="69"/>
      <c r="I17" s="69"/>
      <c r="J17" s="38"/>
      <c r="K17" s="38"/>
      <c r="L17" s="38"/>
      <c r="M17" s="98"/>
      <c r="N17" s="99"/>
      <c r="O17" s="100"/>
      <c r="P17" s="101"/>
      <c r="Q17" s="15"/>
      <c r="R17" s="15"/>
      <c r="S17" s="16"/>
      <c r="T17" s="17"/>
      <c r="U17" s="20"/>
      <c r="V17" s="17"/>
    </row>
    <row r="18" spans="1:22" ht="14.25" x14ac:dyDescent="0.2">
      <c r="A18" s="138" t="s">
        <v>147</v>
      </c>
      <c r="B18" s="168">
        <v>100</v>
      </c>
      <c r="C18" t="s">
        <v>136</v>
      </c>
      <c r="D18" t="s">
        <v>148</v>
      </c>
      <c r="G18" s="69"/>
      <c r="H18" s="69"/>
      <c r="I18" s="69"/>
      <c r="J18" s="38"/>
      <c r="K18" s="38"/>
      <c r="L18" s="38"/>
      <c r="M18" s="98"/>
      <c r="N18" s="99"/>
      <c r="O18" s="100"/>
      <c r="P18" s="101"/>
      <c r="Q18" s="15"/>
      <c r="R18" s="15"/>
      <c r="S18" s="16"/>
      <c r="T18" s="17"/>
      <c r="U18" s="20"/>
      <c r="V18" s="17"/>
    </row>
    <row r="19" spans="1:22" ht="14.25" x14ac:dyDescent="0.2">
      <c r="A19" t="s">
        <v>7</v>
      </c>
      <c r="B19" s="143">
        <v>0.76600000000000001</v>
      </c>
      <c r="C19" t="s">
        <v>8</v>
      </c>
      <c r="D19" t="s">
        <v>145</v>
      </c>
      <c r="G19" s="69"/>
      <c r="H19" s="69"/>
      <c r="I19" s="69"/>
      <c r="J19" s="38"/>
      <c r="K19" s="38"/>
      <c r="L19" s="38"/>
      <c r="M19" s="98"/>
      <c r="N19" s="99"/>
      <c r="O19" s="100"/>
      <c r="P19" s="101"/>
      <c r="Q19" s="15"/>
      <c r="R19" s="15"/>
      <c r="S19" s="16"/>
      <c r="T19" s="17"/>
      <c r="U19" s="20"/>
      <c r="V19" s="17"/>
    </row>
    <row r="20" spans="1:22" ht="14.25" x14ac:dyDescent="0.2">
      <c r="A20" t="s">
        <v>9</v>
      </c>
      <c r="B20" s="143">
        <v>2.6469999999999998</v>
      </c>
      <c r="C20" t="s">
        <v>24</v>
      </c>
      <c r="D20" t="s">
        <v>145</v>
      </c>
      <c r="G20" s="69"/>
      <c r="H20" s="69"/>
      <c r="I20" s="69"/>
      <c r="J20" s="38"/>
      <c r="K20" s="38"/>
      <c r="L20" s="38"/>
      <c r="M20" s="98"/>
      <c r="N20" s="99"/>
      <c r="O20" s="100"/>
      <c r="P20" s="101"/>
      <c r="Q20" s="15"/>
      <c r="R20" s="15"/>
      <c r="S20" s="16"/>
      <c r="T20" s="17"/>
      <c r="U20" s="20"/>
      <c r="V20" s="17"/>
    </row>
    <row r="21" spans="1:22" ht="14.25" x14ac:dyDescent="0.2">
      <c r="A21" t="s">
        <v>10</v>
      </c>
      <c r="B21" s="144">
        <f>B19/B20</f>
        <v>0.28938420853796754</v>
      </c>
      <c r="C21" t="s">
        <v>24</v>
      </c>
      <c r="G21" s="69"/>
      <c r="H21" s="69"/>
      <c r="I21" s="69"/>
      <c r="J21" s="38"/>
      <c r="K21" s="38"/>
      <c r="L21" s="38"/>
      <c r="M21" s="98"/>
      <c r="N21" s="99"/>
      <c r="O21" s="100"/>
      <c r="P21" s="101"/>
      <c r="Q21" s="15"/>
      <c r="R21" s="15"/>
      <c r="S21" s="16"/>
      <c r="T21" s="17"/>
      <c r="U21" s="20"/>
      <c r="V21" s="17"/>
    </row>
    <row r="22" spans="1:22" ht="14.25" x14ac:dyDescent="0.2">
      <c r="A22" t="s">
        <v>12</v>
      </c>
      <c r="B22" s="144">
        <f>(87 * SQRT(B21))/(SQRT(B21)+B17)</f>
        <v>33.719768844841312</v>
      </c>
      <c r="G22" s="69"/>
      <c r="H22" s="69"/>
      <c r="I22" s="69"/>
      <c r="J22" s="38"/>
      <c r="K22" s="38"/>
      <c r="L22" s="38"/>
      <c r="M22" s="98"/>
      <c r="N22" s="99"/>
      <c r="O22" s="100"/>
      <c r="P22" s="101"/>
      <c r="Q22" s="15"/>
      <c r="R22" s="15"/>
      <c r="S22" s="16"/>
      <c r="T22" s="17"/>
      <c r="U22" s="20"/>
      <c r="V22" s="17"/>
    </row>
    <row r="23" spans="1:22" ht="14.25" x14ac:dyDescent="0.2">
      <c r="A23" t="s">
        <v>13</v>
      </c>
      <c r="B23" s="144">
        <f>B22*(SQRT(B21*B13))</f>
        <v>0.96326672234963617</v>
      </c>
      <c r="C23" t="s">
        <v>35</v>
      </c>
      <c r="G23" s="69"/>
      <c r="H23" s="69"/>
      <c r="I23" s="69"/>
      <c r="J23" s="38"/>
      <c r="K23" s="38"/>
      <c r="L23" s="38"/>
      <c r="M23" s="98"/>
      <c r="N23" s="99"/>
      <c r="O23" s="100"/>
      <c r="P23" s="101"/>
      <c r="Q23" s="15"/>
      <c r="R23" s="15"/>
      <c r="S23" s="16"/>
      <c r="T23" s="17"/>
      <c r="U23" s="20"/>
      <c r="V23" s="17"/>
    </row>
    <row r="24" spans="1:22" ht="15" x14ac:dyDescent="0.25">
      <c r="A24" s="156" t="s">
        <v>150</v>
      </c>
      <c r="B24" s="157">
        <f>B19*B23</f>
        <v>0.73786230931982133</v>
      </c>
      <c r="C24" s="156" t="s">
        <v>17</v>
      </c>
      <c r="G24" s="69"/>
      <c r="H24" s="69"/>
      <c r="I24" s="69"/>
      <c r="J24" s="38"/>
      <c r="K24" s="38"/>
      <c r="L24" s="38"/>
      <c r="M24" s="98"/>
      <c r="N24" s="99"/>
      <c r="O24" s="100"/>
      <c r="P24" s="101"/>
      <c r="Q24" s="15"/>
      <c r="R24" s="15"/>
      <c r="S24" s="16"/>
      <c r="T24" s="17"/>
      <c r="U24" s="20"/>
      <c r="V24" s="17"/>
    </row>
    <row r="25" spans="1:22" ht="15" x14ac:dyDescent="0.25">
      <c r="A25" s="71"/>
      <c r="B25" s="72"/>
      <c r="C25" s="64"/>
      <c r="D25" s="69"/>
      <c r="E25" s="69"/>
      <c r="F25" s="69"/>
      <c r="G25" s="69"/>
      <c r="H25" s="69"/>
      <c r="I25" s="69"/>
      <c r="J25" s="38"/>
      <c r="K25" s="38"/>
      <c r="L25" s="38"/>
      <c r="M25" s="98"/>
      <c r="N25" s="99"/>
      <c r="O25" s="100"/>
      <c r="P25" s="101"/>
      <c r="Q25" s="15"/>
      <c r="R25" s="15"/>
      <c r="S25" s="16"/>
      <c r="T25" s="17"/>
      <c r="U25" s="20"/>
      <c r="V25" s="17"/>
    </row>
    <row r="26" spans="1:22" ht="16.5" customHeight="1" x14ac:dyDescent="0.2">
      <c r="A26" s="186" t="s">
        <v>135</v>
      </c>
      <c r="B26" s="186"/>
      <c r="C26" s="186"/>
      <c r="D26" s="186"/>
      <c r="E26" s="186"/>
      <c r="F26" s="186"/>
      <c r="G26" s="186"/>
      <c r="H26" s="69"/>
      <c r="I26" s="69"/>
      <c r="J26" s="38"/>
      <c r="K26" s="38"/>
      <c r="L26" s="38"/>
      <c r="M26" s="98"/>
      <c r="N26" s="99"/>
      <c r="O26" s="100"/>
      <c r="P26" s="101"/>
      <c r="Q26" s="15"/>
      <c r="R26" s="15"/>
      <c r="S26" s="16"/>
      <c r="T26" s="17"/>
      <c r="U26" s="20"/>
      <c r="V26" s="17"/>
    </row>
    <row r="27" spans="1:22" ht="14.25" x14ac:dyDescent="0.2">
      <c r="A27" s="169" t="s">
        <v>164</v>
      </c>
      <c r="B27" s="170" t="s">
        <v>138</v>
      </c>
      <c r="C27" s="170" t="s">
        <v>139</v>
      </c>
      <c r="D27" s="170" t="s">
        <v>140</v>
      </c>
      <c r="E27" s="170" t="s">
        <v>141</v>
      </c>
      <c r="F27" s="170" t="s">
        <v>41</v>
      </c>
      <c r="G27" s="169" t="s">
        <v>142</v>
      </c>
      <c r="H27" s="69"/>
      <c r="I27" s="69"/>
      <c r="J27" s="38"/>
      <c r="K27" s="38"/>
      <c r="L27" s="38"/>
      <c r="M27" s="98"/>
      <c r="N27" s="99"/>
      <c r="O27" s="100"/>
      <c r="P27" s="101"/>
      <c r="Q27" s="15"/>
      <c r="R27" s="15"/>
      <c r="S27" s="16"/>
      <c r="T27" s="17"/>
      <c r="U27" s="20"/>
      <c r="V27" s="17"/>
    </row>
    <row r="28" spans="1:22" ht="14.25" x14ac:dyDescent="0.2">
      <c r="A28" s="172">
        <v>30</v>
      </c>
      <c r="B28" s="139">
        <f t="shared" ref="B28:B40" si="0">0.06*A28</f>
        <v>1.7999999999999998</v>
      </c>
      <c r="C28" s="140">
        <f t="shared" ref="C28:C40" si="1">(A28/2)^2/2*(RADIANS(303.28)-SIN(RADIANS(303.28)))/10000</f>
        <v>6.8953876998855052E-2</v>
      </c>
      <c r="D28" s="140">
        <f t="shared" ref="D28:D40" si="2">A28/2*RADIANS(303.28)/100</f>
        <v>0.7939851833172602</v>
      </c>
      <c r="E28" s="141">
        <f t="shared" ref="E28:E40" si="3">C28/D28</f>
        <v>8.6845294405578977E-2</v>
      </c>
      <c r="F28" s="142">
        <f>(87 * SQRT(E28))/(SQRT(E28)+$B$17)</f>
        <v>22.397653167560389</v>
      </c>
      <c r="G28" s="171">
        <f>F28*(SQRT(E28*$B$13))*C28</f>
        <v>2.41690124314131E-2</v>
      </c>
      <c r="H28" s="69"/>
      <c r="I28" s="69"/>
      <c r="J28" s="38"/>
      <c r="K28" s="38"/>
      <c r="L28" s="38"/>
      <c r="M28" s="98"/>
      <c r="N28" s="99"/>
      <c r="O28" s="100"/>
      <c r="P28" s="101"/>
      <c r="Q28" s="15"/>
      <c r="R28" s="15"/>
      <c r="S28" s="16"/>
      <c r="T28" s="17"/>
      <c r="U28" s="20"/>
      <c r="V28" s="17"/>
    </row>
    <row r="29" spans="1:22" ht="14.25" x14ac:dyDescent="0.2">
      <c r="A29" s="172">
        <v>40</v>
      </c>
      <c r="B29" s="139">
        <f t="shared" si="0"/>
        <v>2.4</v>
      </c>
      <c r="C29" s="140">
        <f t="shared" si="1"/>
        <v>0.12258467022018676</v>
      </c>
      <c r="D29" s="140">
        <f t="shared" si="2"/>
        <v>1.0586469110896803</v>
      </c>
      <c r="E29" s="141">
        <f t="shared" si="3"/>
        <v>0.11579372587410529</v>
      </c>
      <c r="F29" s="142">
        <f t="shared" ref="F29:F40" si="4">(87 * SQRT(E29))/(SQRT(E29)+$B$17)</f>
        <v>24.872010332228331</v>
      </c>
      <c r="G29" s="171">
        <f t="shared" ref="G29:G40" si="5">F29*(SQRT(E29*$B$13))*C29</f>
        <v>5.5095245278225555E-2</v>
      </c>
      <c r="H29" s="69"/>
      <c r="I29" s="69"/>
      <c r="J29" s="38"/>
      <c r="K29" s="38"/>
      <c r="L29" s="38"/>
      <c r="M29" s="98"/>
      <c r="N29" s="99"/>
      <c r="O29" s="100"/>
      <c r="P29" s="101"/>
      <c r="Q29" s="15"/>
      <c r="R29" s="15"/>
      <c r="S29" s="16"/>
      <c r="T29" s="17"/>
      <c r="U29" s="20"/>
      <c r="V29" s="17"/>
    </row>
    <row r="30" spans="1:22" ht="14.25" x14ac:dyDescent="0.2">
      <c r="A30" s="172">
        <v>50</v>
      </c>
      <c r="B30" s="139">
        <f t="shared" si="0"/>
        <v>3</v>
      </c>
      <c r="C30" s="140">
        <f t="shared" si="1"/>
        <v>0.19153854721904182</v>
      </c>
      <c r="D30" s="140">
        <f t="shared" si="2"/>
        <v>1.3233086388621005</v>
      </c>
      <c r="E30" s="141">
        <f t="shared" si="3"/>
        <v>0.1447421573426316</v>
      </c>
      <c r="F30" s="142">
        <f t="shared" si="4"/>
        <v>26.900033673232048</v>
      </c>
      <c r="G30" s="171">
        <f t="shared" si="5"/>
        <v>0.10409529194833195</v>
      </c>
      <c r="H30" s="69"/>
      <c r="I30" s="69"/>
      <c r="J30" s="38"/>
      <c r="K30" s="38"/>
      <c r="L30" s="38"/>
      <c r="M30" s="98"/>
      <c r="N30" s="99"/>
      <c r="O30" s="100"/>
      <c r="P30" s="101"/>
      <c r="Q30" s="15"/>
      <c r="R30" s="15"/>
      <c r="S30" s="16"/>
      <c r="T30" s="17"/>
      <c r="U30" s="20"/>
      <c r="V30" s="17"/>
    </row>
    <row r="31" spans="1:22" ht="14.25" x14ac:dyDescent="0.2">
      <c r="A31" s="172">
        <v>60</v>
      </c>
      <c r="B31" s="139">
        <f t="shared" si="0"/>
        <v>3.5999999999999996</v>
      </c>
      <c r="C31" s="140">
        <f t="shared" si="1"/>
        <v>0.27581550799542021</v>
      </c>
      <c r="D31" s="140">
        <f t="shared" si="2"/>
        <v>1.5879703666345204</v>
      </c>
      <c r="E31" s="141">
        <f t="shared" si="3"/>
        <v>0.17369058881115795</v>
      </c>
      <c r="F31" s="142">
        <f t="shared" si="4"/>
        <v>28.622816040097057</v>
      </c>
      <c r="G31" s="171">
        <f t="shared" si="5"/>
        <v>0.17472044952141591</v>
      </c>
      <c r="H31" s="69"/>
      <c r="I31" s="69"/>
      <c r="J31" s="38"/>
      <c r="K31" s="38"/>
      <c r="L31" s="38"/>
      <c r="M31" s="98"/>
      <c r="N31" s="99"/>
      <c r="O31" s="100"/>
      <c r="P31" s="101"/>
      <c r="Q31" s="15"/>
      <c r="R31" s="15"/>
      <c r="S31" s="16"/>
      <c r="T31" s="17"/>
      <c r="U31" s="20"/>
      <c r="V31" s="17"/>
    </row>
    <row r="32" spans="1:22" ht="14.25" x14ac:dyDescent="0.2">
      <c r="A32" s="172">
        <v>80</v>
      </c>
      <c r="B32" s="139">
        <f t="shared" si="0"/>
        <v>4.8</v>
      </c>
      <c r="C32" s="140">
        <f t="shared" si="1"/>
        <v>0.49033868088074706</v>
      </c>
      <c r="D32" s="140">
        <f t="shared" si="2"/>
        <v>2.1172938221793607</v>
      </c>
      <c r="E32" s="141">
        <f t="shared" si="3"/>
        <v>0.23158745174821058</v>
      </c>
      <c r="F32" s="142">
        <f t="shared" si="4"/>
        <v>31.450092467222735</v>
      </c>
      <c r="G32" s="171">
        <f t="shared" si="5"/>
        <v>0.39409429431948789</v>
      </c>
      <c r="H32" s="69"/>
      <c r="I32" s="69"/>
      <c r="J32" s="38"/>
      <c r="K32" s="38"/>
      <c r="L32" s="38"/>
      <c r="M32" s="98"/>
      <c r="N32" s="99"/>
      <c r="O32" s="100"/>
      <c r="P32" s="101"/>
      <c r="Q32" s="15"/>
      <c r="R32" s="15"/>
      <c r="S32" s="16"/>
      <c r="T32" s="17"/>
      <c r="U32" s="20"/>
      <c r="V32" s="17"/>
    </row>
    <row r="33" spans="1:22" ht="14.25" x14ac:dyDescent="0.2">
      <c r="A33" s="172">
        <v>100</v>
      </c>
      <c r="B33" s="139">
        <f t="shared" si="0"/>
        <v>6</v>
      </c>
      <c r="C33" s="140">
        <f t="shared" si="1"/>
        <v>0.76615418887616726</v>
      </c>
      <c r="D33" s="140">
        <f t="shared" si="2"/>
        <v>2.646617277724201</v>
      </c>
      <c r="E33" s="141">
        <f t="shared" si="3"/>
        <v>0.2894843146852632</v>
      </c>
      <c r="F33" s="142">
        <f t="shared" si="4"/>
        <v>33.723340098475383</v>
      </c>
      <c r="G33" s="171">
        <f t="shared" si="5"/>
        <v>0.73821664875191495</v>
      </c>
      <c r="H33" s="69"/>
      <c r="I33" s="69"/>
      <c r="J33" s="38"/>
      <c r="K33" s="38"/>
      <c r="L33" s="38"/>
      <c r="M33" s="98"/>
      <c r="N33" s="99"/>
      <c r="O33" s="100"/>
      <c r="P33" s="101"/>
      <c r="Q33" s="15"/>
      <c r="R33" s="15"/>
      <c r="S33" s="16"/>
      <c r="T33" s="17"/>
      <c r="U33" s="20"/>
      <c r="V33" s="17"/>
    </row>
    <row r="34" spans="1:22" ht="14.25" x14ac:dyDescent="0.2">
      <c r="A34" s="172">
        <v>120</v>
      </c>
      <c r="B34" s="139">
        <f t="shared" si="0"/>
        <v>7.1999999999999993</v>
      </c>
      <c r="C34" s="140">
        <f t="shared" si="1"/>
        <v>1.1032620319816808</v>
      </c>
      <c r="D34" s="140">
        <f t="shared" si="2"/>
        <v>3.1759407332690408</v>
      </c>
      <c r="E34" s="141">
        <f t="shared" si="3"/>
        <v>0.34738117762231591</v>
      </c>
      <c r="F34" s="142">
        <f t="shared" si="4"/>
        <v>35.624088253395357</v>
      </c>
      <c r="G34" s="171">
        <f t="shared" si="5"/>
        <v>1.2301274965376772</v>
      </c>
      <c r="H34" s="69"/>
      <c r="I34" s="69"/>
      <c r="J34" s="38"/>
      <c r="K34" s="38"/>
      <c r="L34" s="38"/>
      <c r="M34" s="98"/>
      <c r="N34" s="99"/>
      <c r="O34" s="100"/>
      <c r="P34" s="101"/>
      <c r="Q34" s="15"/>
      <c r="R34" s="15"/>
      <c r="S34" s="16"/>
      <c r="T34" s="17"/>
      <c r="U34" s="20"/>
      <c r="V34" s="17"/>
    </row>
    <row r="35" spans="1:22" ht="14.25" x14ac:dyDescent="0.2">
      <c r="A35" s="172">
        <v>140</v>
      </c>
      <c r="B35" s="139">
        <f t="shared" si="0"/>
        <v>8.4</v>
      </c>
      <c r="C35" s="140">
        <f t="shared" si="1"/>
        <v>1.5016622101972879</v>
      </c>
      <c r="D35" s="140">
        <f t="shared" si="2"/>
        <v>3.7052641888138811</v>
      </c>
      <c r="E35" s="141">
        <f t="shared" si="3"/>
        <v>0.40527804055936856</v>
      </c>
      <c r="F35" s="142">
        <f t="shared" si="4"/>
        <v>37.256102533861196</v>
      </c>
      <c r="G35" s="171">
        <f t="shared" si="5"/>
        <v>1.8913450294304985</v>
      </c>
      <c r="H35" s="69"/>
      <c r="I35" s="69"/>
      <c r="J35" s="38"/>
      <c r="K35" s="38"/>
      <c r="L35" s="38"/>
      <c r="M35" s="98"/>
      <c r="N35" s="99"/>
      <c r="O35" s="100"/>
      <c r="P35" s="101"/>
      <c r="Q35" s="15"/>
      <c r="R35" s="15"/>
      <c r="S35" s="16"/>
      <c r="T35" s="17"/>
      <c r="U35" s="20"/>
      <c r="V35" s="17"/>
    </row>
    <row r="36" spans="1:22" ht="14.25" x14ac:dyDescent="0.2">
      <c r="A36" s="172">
        <v>150</v>
      </c>
      <c r="B36" s="139">
        <f t="shared" si="0"/>
        <v>9</v>
      </c>
      <c r="C36" s="140">
        <f t="shared" si="1"/>
        <v>1.7238469249713761</v>
      </c>
      <c r="D36" s="140">
        <f t="shared" si="2"/>
        <v>3.9699259165863015</v>
      </c>
      <c r="E36" s="141">
        <f t="shared" si="3"/>
        <v>0.43422647202789477</v>
      </c>
      <c r="F36" s="142">
        <f t="shared" si="4"/>
        <v>37.992692125947421</v>
      </c>
      <c r="G36" s="171">
        <f t="shared" si="5"/>
        <v>2.291825087078915</v>
      </c>
      <c r="H36" s="69"/>
      <c r="I36" s="69"/>
      <c r="J36" s="38"/>
      <c r="K36" s="38"/>
      <c r="L36" s="38"/>
      <c r="M36" s="98"/>
      <c r="N36" s="99"/>
      <c r="O36" s="100"/>
      <c r="P36" s="101"/>
      <c r="Q36" s="15"/>
      <c r="R36" s="15"/>
      <c r="S36" s="16"/>
      <c r="T36" s="17"/>
      <c r="U36" s="20"/>
      <c r="V36" s="17"/>
    </row>
    <row r="37" spans="1:22" ht="14.25" x14ac:dyDescent="0.2">
      <c r="A37" s="172">
        <v>160</v>
      </c>
      <c r="B37" s="139">
        <f t="shared" si="0"/>
        <v>9.6</v>
      </c>
      <c r="C37" s="140">
        <f t="shared" si="1"/>
        <v>1.9613547235229882</v>
      </c>
      <c r="D37" s="140">
        <f t="shared" si="2"/>
        <v>4.2345876443587214</v>
      </c>
      <c r="E37" s="141">
        <f t="shared" si="3"/>
        <v>0.46317490349642115</v>
      </c>
      <c r="F37" s="142">
        <f t="shared" si="4"/>
        <v>38.68465208550014</v>
      </c>
      <c r="G37" s="171">
        <f t="shared" si="5"/>
        <v>2.7421544030373508</v>
      </c>
      <c r="H37" s="69"/>
      <c r="I37" s="69"/>
      <c r="J37" s="38"/>
      <c r="K37" s="38"/>
      <c r="L37" s="38"/>
      <c r="M37" s="98"/>
      <c r="N37" s="99"/>
      <c r="O37" s="100"/>
      <c r="P37" s="101"/>
      <c r="Q37" s="15"/>
      <c r="R37" s="15"/>
      <c r="S37" s="16"/>
      <c r="T37" s="17"/>
      <c r="U37" s="20"/>
      <c r="V37" s="17"/>
    </row>
    <row r="38" spans="1:22" ht="14.25" x14ac:dyDescent="0.2">
      <c r="A38" s="172">
        <v>180</v>
      </c>
      <c r="B38" s="139">
        <f t="shared" si="0"/>
        <v>10.799999999999999</v>
      </c>
      <c r="C38" s="140">
        <f t="shared" si="1"/>
        <v>2.4823395719587822</v>
      </c>
      <c r="D38" s="140">
        <f t="shared" si="2"/>
        <v>4.7639110999035621</v>
      </c>
      <c r="E38" s="141">
        <f t="shared" si="3"/>
        <v>0.52107176643347375</v>
      </c>
      <c r="F38" s="142">
        <f t="shared" si="4"/>
        <v>39.95361615743591</v>
      </c>
      <c r="G38" s="171">
        <f t="shared" si="5"/>
        <v>3.8018117515286116</v>
      </c>
      <c r="H38" s="69"/>
      <c r="I38" s="69"/>
      <c r="J38" s="38"/>
      <c r="K38" s="38"/>
      <c r="L38" s="38"/>
      <c r="M38" s="98"/>
      <c r="N38" s="99"/>
      <c r="O38" s="100"/>
      <c r="P38" s="101"/>
      <c r="Q38" s="15"/>
      <c r="R38" s="15"/>
      <c r="S38" s="16"/>
      <c r="T38" s="17"/>
      <c r="U38" s="20"/>
      <c r="V38" s="17"/>
    </row>
    <row r="39" spans="1:22" x14ac:dyDescent="0.2">
      <c r="A39" s="172">
        <v>200</v>
      </c>
      <c r="B39" s="139">
        <f t="shared" si="0"/>
        <v>12</v>
      </c>
      <c r="C39" s="140">
        <f t="shared" si="1"/>
        <v>3.0646167555046691</v>
      </c>
      <c r="D39" s="140">
        <f t="shared" si="2"/>
        <v>5.2932345554484019</v>
      </c>
      <c r="E39" s="141">
        <f t="shared" si="3"/>
        <v>0.5789686293705264</v>
      </c>
      <c r="F39" s="142">
        <f t="shared" si="4"/>
        <v>41.093981346577756</v>
      </c>
      <c r="G39" s="171">
        <f t="shared" si="5"/>
        <v>5.0886954716021853</v>
      </c>
      <c r="H39" s="87"/>
      <c r="I39" s="87"/>
      <c r="J39" s="38"/>
      <c r="K39" s="38"/>
      <c r="L39" s="93"/>
      <c r="M39" s="98"/>
      <c r="N39" s="107" t="b">
        <v>0</v>
      </c>
      <c r="O39" s="100"/>
      <c r="P39" s="101"/>
      <c r="Q39" s="15"/>
      <c r="R39" s="15"/>
      <c r="S39" s="16"/>
      <c r="T39" s="17"/>
      <c r="U39" s="17"/>
      <c r="V39" s="17"/>
    </row>
    <row r="40" spans="1:22" x14ac:dyDescent="0.2">
      <c r="A40" s="172">
        <v>220</v>
      </c>
      <c r="B40" s="139">
        <f t="shared" si="0"/>
        <v>13.2</v>
      </c>
      <c r="C40" s="140">
        <f t="shared" si="1"/>
        <v>3.7081862741606497</v>
      </c>
      <c r="D40" s="140">
        <f t="shared" si="2"/>
        <v>5.8225580109932427</v>
      </c>
      <c r="E40" s="141">
        <f t="shared" si="3"/>
        <v>0.63686549230757905</v>
      </c>
      <c r="F40" s="142">
        <f t="shared" si="4"/>
        <v>42.128476222007464</v>
      </c>
      <c r="G40" s="171">
        <f t="shared" si="5"/>
        <v>6.6204225031750514</v>
      </c>
      <c r="H40" s="53"/>
      <c r="I40" s="53"/>
      <c r="J40" s="38"/>
      <c r="L40" s="23"/>
      <c r="M40" s="13"/>
      <c r="N40" s="10"/>
      <c r="O40" s="14"/>
      <c r="P40" s="15"/>
      <c r="Q40" s="15"/>
      <c r="R40" s="15"/>
      <c r="S40" s="16"/>
      <c r="T40" s="17"/>
      <c r="U40" s="17"/>
      <c r="V40" s="17"/>
    </row>
    <row r="41" spans="1:22" ht="18" customHeight="1" x14ac:dyDescent="0.2">
      <c r="A41" s="93" t="s">
        <v>77</v>
      </c>
      <c r="B41" s="31"/>
      <c r="C41" s="94"/>
      <c r="D41" s="95"/>
      <c r="E41" s="95"/>
      <c r="F41" s="95"/>
      <c r="G41" s="95"/>
      <c r="H41" s="87"/>
      <c r="I41" s="87"/>
      <c r="J41" s="38"/>
      <c r="K41" s="38"/>
      <c r="L41" s="93"/>
      <c r="M41" s="98"/>
      <c r="N41" s="107" t="b">
        <v>1</v>
      </c>
      <c r="O41" s="100"/>
      <c r="P41" s="101"/>
      <c r="Q41" s="15"/>
      <c r="R41" s="15"/>
      <c r="S41" s="16"/>
      <c r="T41" s="17"/>
      <c r="U41" s="17"/>
      <c r="V41" s="17"/>
    </row>
    <row r="42" spans="1:22" ht="18" customHeight="1" x14ac:dyDescent="0.2">
      <c r="A42" s="150"/>
      <c r="B42" s="151"/>
      <c r="C42" s="152"/>
      <c r="D42" s="155" t="s">
        <v>115</v>
      </c>
      <c r="E42" s="153"/>
      <c r="F42" s="144"/>
      <c r="G42" s="154"/>
      <c r="H42" s="53"/>
      <c r="I42" s="53"/>
      <c r="J42" s="38"/>
      <c r="L42" s="23"/>
      <c r="M42" s="13"/>
      <c r="N42" s="10"/>
      <c r="O42" s="14"/>
      <c r="P42" s="15"/>
      <c r="Q42" s="15"/>
      <c r="R42" s="15"/>
      <c r="S42" s="16"/>
      <c r="T42" s="17"/>
      <c r="U42" s="17"/>
      <c r="V42" s="17"/>
    </row>
    <row r="43" spans="1:22" ht="17.100000000000001" customHeight="1" x14ac:dyDescent="0.2">
      <c r="A43" s="150"/>
      <c r="B43" s="151"/>
      <c r="C43" s="152"/>
      <c r="D43" s="155"/>
      <c r="E43" s="153"/>
      <c r="F43" s="144"/>
      <c r="G43" s="154"/>
      <c r="H43" s="53"/>
      <c r="I43" s="53"/>
      <c r="J43" s="38"/>
      <c r="L43" s="23"/>
      <c r="M43" s="13"/>
      <c r="N43" s="10"/>
      <c r="O43" s="14"/>
      <c r="P43" s="15"/>
      <c r="Q43" s="15"/>
      <c r="R43" s="15"/>
      <c r="S43" s="16"/>
      <c r="T43" s="17"/>
      <c r="U43" s="17"/>
      <c r="V43" s="17"/>
    </row>
    <row r="44" spans="1:22" ht="17.100000000000001" customHeight="1" x14ac:dyDescent="0.3">
      <c r="A44" s="41" t="s">
        <v>88</v>
      </c>
      <c r="B44" s="45">
        <f>'Sezione '!$B$42</f>
        <v>5.202035736223638</v>
      </c>
      <c r="C44" s="41" t="s">
        <v>17</v>
      </c>
      <c r="D44" s="95"/>
      <c r="E44" s="53"/>
      <c r="F44" s="55"/>
      <c r="G44" s="56"/>
      <c r="H44" s="53"/>
      <c r="I44" s="12"/>
      <c r="M44" s="13"/>
      <c r="N44" s="10"/>
      <c r="O44" s="14"/>
      <c r="P44" s="15"/>
      <c r="Q44" s="15"/>
      <c r="R44" s="15"/>
      <c r="S44" s="16"/>
      <c r="T44" s="17"/>
      <c r="U44" s="17"/>
      <c r="V44" s="17"/>
    </row>
    <row r="45" spans="1:22" ht="17.100000000000001" customHeight="1" x14ac:dyDescent="0.25">
      <c r="A45" s="36" t="s">
        <v>169</v>
      </c>
      <c r="B45" s="119">
        <f>IF($N$64,'Calcolo portata Atot&gt;1 Kmq'!$B$96,'Calcolo portata Atot&lt;1 Kmq'!$B$96)</f>
        <v>2.4100165385131351</v>
      </c>
      <c r="C45" s="41" t="s">
        <v>17</v>
      </c>
      <c r="E45" s="41" t="str">
        <f>IF((B24&gt;B45),"Condotta circolare verificata alla Q 10","Condotta circolare non verificata alla Q 10")</f>
        <v>Condotta circolare non verificata alla Q 10</v>
      </c>
      <c r="F45" s="55"/>
      <c r="G45" s="56"/>
      <c r="H45" s="53"/>
      <c r="I45" s="174"/>
      <c r="M45" s="13"/>
      <c r="N45" s="10"/>
      <c r="O45" s="14"/>
      <c r="P45" s="15"/>
      <c r="Q45" s="15"/>
      <c r="R45" s="15"/>
      <c r="S45" s="16"/>
      <c r="T45" s="17"/>
      <c r="U45" s="17"/>
      <c r="V45" s="17"/>
    </row>
    <row r="46" spans="1:22" ht="17.100000000000001" customHeight="1" x14ac:dyDescent="0.25">
      <c r="A46" s="36" t="s">
        <v>59</v>
      </c>
      <c r="B46" s="119">
        <f>IF($N$64,'Calcolo portata Atot&gt;1 Kmq'!$B$97,'Calcolo portata Atot&lt;1 Kmq'!$B$97)</f>
        <v>3.4126764953162132</v>
      </c>
      <c r="C46" s="41" t="s">
        <v>17</v>
      </c>
      <c r="D46" s="48"/>
      <c r="E46" s="41" t="str">
        <f>IF((B24&gt;B46),"Condotta circolare verificata alla Q 30","Condotta circolare non verificata alla Q 30")</f>
        <v>Condotta circolare non verificata alla Q 30</v>
      </c>
      <c r="F46" s="48"/>
      <c r="G46" s="48"/>
      <c r="H46" s="87"/>
      <c r="I46" s="174"/>
      <c r="J46" s="2"/>
      <c r="M46" s="13"/>
      <c r="N46" s="10"/>
      <c r="O46" s="14"/>
      <c r="P46" s="15"/>
      <c r="Q46" s="15"/>
      <c r="R46" s="15"/>
      <c r="S46" s="16"/>
      <c r="T46" s="17"/>
      <c r="U46" s="17"/>
      <c r="V46" s="17"/>
    </row>
    <row r="47" spans="1:22" ht="17.100000000000001" customHeight="1" x14ac:dyDescent="0.25">
      <c r="A47" s="36" t="s">
        <v>134</v>
      </c>
      <c r="B47" s="119">
        <f>IF($N$64,'Calcolo portata Atot&gt;1 Kmq'!$B$98,'Calcolo portata Atot&lt;1 Kmq'!$B$98)</f>
        <v>3.8810830731047128</v>
      </c>
      <c r="C47" s="41" t="s">
        <v>17</v>
      </c>
      <c r="E47" s="41" t="str">
        <f>IF((B24&gt;B47),"Condotta circolare verificata alla Q 50","Condotta circolare non verificata alla Q 50")</f>
        <v>Condotta circolare non verificata alla Q 50</v>
      </c>
      <c r="F47" s="37"/>
      <c r="G47" s="37"/>
      <c r="H47" s="37"/>
      <c r="I47" s="174"/>
      <c r="J47" s="2"/>
      <c r="Q47" s="15"/>
      <c r="R47" s="15"/>
      <c r="S47" s="16"/>
      <c r="T47" s="17"/>
      <c r="U47" s="17"/>
      <c r="V47" s="17"/>
    </row>
    <row r="48" spans="1:22" ht="17.100000000000001" customHeight="1" x14ac:dyDescent="0.25">
      <c r="A48" s="36" t="s">
        <v>60</v>
      </c>
      <c r="B48" s="119">
        <f>IF($N$64,'Calcolo portata Atot&gt;1 Kmq'!$B$99,'Calcolo portata Atot&lt;1 Kmq'!$B$99)</f>
        <v>4.9517266794784272</v>
      </c>
      <c r="C48" s="41" t="s">
        <v>17</v>
      </c>
      <c r="E48" s="41" t="str">
        <f>IF((B24&gt;B48),"Condotta circolare verificata alla Q 200","Condotta circolare non verificata alla Q 200")</f>
        <v>Condotta circolare non verificata alla Q 200</v>
      </c>
      <c r="I48" s="174"/>
    </row>
    <row r="64" spans="14:14" x14ac:dyDescent="0.2">
      <c r="N64" t="b">
        <v>1</v>
      </c>
    </row>
  </sheetData>
  <mergeCells count="3">
    <mergeCell ref="A4:H4"/>
    <mergeCell ref="A5:H5"/>
    <mergeCell ref="A26:G26"/>
  </mergeCells>
  <conditionalFormatting sqref="I45:I48">
    <cfRule type="expression" dxfId="1" priority="2">
      <formula>$B$24&gt;$B45</formula>
    </cfRule>
    <cfRule type="expression" dxfId="0" priority="3">
      <formula>$B$24&lt;$B45</formula>
    </cfRule>
  </conditionalFormatting>
  <printOptions horizontalCentered="1" verticalCentered="1" gridLinesSet="0"/>
  <pageMargins left="0.78740157480314965" right="0.78740157480314965" top="0.59055118110236227" bottom="0.59055118110236227" header="0.19685039370078741" footer="0.19685039370078741"/>
  <pageSetup paperSize="9" scale="90" orientation="portrait" horizontalDpi="4294967293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2" shapeId="55298" r:id="rId4">
          <objectPr defaultSize="0" autoLine="0" autoPict="0" r:id="rId5">
            <anchor moveWithCells="1">
              <from>
                <xdr:col>0</xdr:col>
                <xdr:colOff>57150</xdr:colOff>
                <xdr:row>7</xdr:row>
                <xdr:rowOff>47625</xdr:rowOff>
              </from>
              <to>
                <xdr:col>0</xdr:col>
                <xdr:colOff>800100</xdr:colOff>
                <xdr:row>10</xdr:row>
                <xdr:rowOff>123825</xdr:rowOff>
              </to>
            </anchor>
          </objectPr>
        </oleObject>
      </mc:Choice>
      <mc:Fallback>
        <oleObject progId="Equation.2" shapeId="55298" r:id="rId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7" r:id="rId6" name="Drop Down 1">
              <controlPr defaultSize="0" autoLine="0" autoPict="0">
                <anchor moveWithCells="1">
                  <from>
                    <xdr:col>0</xdr:col>
                    <xdr:colOff>28575</xdr:colOff>
                    <xdr:row>14</xdr:row>
                    <xdr:rowOff>0</xdr:rowOff>
                  </from>
                  <to>
                    <xdr:col>7</xdr:col>
                    <xdr:colOff>476250</xdr:colOff>
                    <xdr:row>15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1" r:id="rId7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41</xdr:row>
                    <xdr:rowOff>19050</xdr:rowOff>
                  </from>
                  <to>
                    <xdr:col>1</xdr:col>
                    <xdr:colOff>504825</xdr:colOff>
                    <xdr:row>42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8"/>
  <sheetViews>
    <sheetView showGridLines="0" workbookViewId="0">
      <selection activeCell="G6" sqref="G6"/>
    </sheetView>
  </sheetViews>
  <sheetFormatPr defaultRowHeight="12.75" x14ac:dyDescent="0.2"/>
  <cols>
    <col min="4" max="4" width="13.28515625" bestFit="1" customWidth="1"/>
    <col min="12" max="12" width="10.5703125" bestFit="1" customWidth="1"/>
    <col min="15" max="15" width="15.140625" bestFit="1" customWidth="1"/>
  </cols>
  <sheetData>
    <row r="1" spans="1:7" ht="16.5" thickBot="1" x14ac:dyDescent="0.3">
      <c r="A1" s="158" t="s">
        <v>151</v>
      </c>
    </row>
    <row r="2" spans="1:7" ht="15.75" x14ac:dyDescent="0.25">
      <c r="D2" s="187" t="s">
        <v>152</v>
      </c>
      <c r="E2" s="188"/>
      <c r="F2" s="188"/>
      <c r="G2" s="189"/>
    </row>
    <row r="3" spans="1:7" ht="13.5" thickBot="1" x14ac:dyDescent="0.25">
      <c r="D3" s="190" t="s">
        <v>153</v>
      </c>
      <c r="E3" s="191"/>
      <c r="F3" s="191"/>
      <c r="G3" s="159">
        <f>$B$4</f>
        <v>0.95</v>
      </c>
    </row>
    <row r="4" spans="1:7" x14ac:dyDescent="0.2">
      <c r="A4" s="160" t="s">
        <v>154</v>
      </c>
      <c r="B4" s="160">
        <v>0.95</v>
      </c>
      <c r="D4" s="161" t="s">
        <v>137</v>
      </c>
      <c r="E4" s="162" t="s">
        <v>138</v>
      </c>
      <c r="F4" s="162" t="s">
        <v>139</v>
      </c>
      <c r="G4" s="163" t="s">
        <v>140</v>
      </c>
    </row>
    <row r="5" spans="1:7" x14ac:dyDescent="0.2">
      <c r="B5" s="164"/>
      <c r="D5" s="165">
        <v>30</v>
      </c>
      <c r="E5" s="139">
        <f>(1-$B$4)*D5</f>
        <v>1.5000000000000013</v>
      </c>
      <c r="F5" s="140">
        <f>(D5/2)^2/2*($B$12-SIN($B$12))/10000</f>
        <v>6.9364501801024298E-2</v>
      </c>
      <c r="G5" s="166">
        <f>D5/2*$B$12/100</f>
        <v>0.80716975253805912</v>
      </c>
    </row>
    <row r="6" spans="1:7" x14ac:dyDescent="0.2">
      <c r="A6" s="145" t="s">
        <v>155</v>
      </c>
      <c r="B6" s="152">
        <f>IF(B4&gt;0.5,ACOS(2*B4-1),0.5*(2*PI()-B12))</f>
        <v>0.45102681179626258</v>
      </c>
      <c r="C6" t="s">
        <v>156</v>
      </c>
      <c r="D6" s="165">
        <v>40</v>
      </c>
      <c r="E6" s="139">
        <f t="shared" ref="E6:E18" si="0">(1-$B$4)*D6</f>
        <v>2.0000000000000018</v>
      </c>
      <c r="F6" s="140">
        <f>(D6/2)^2/2*($B$12-SIN($B$12))/10000</f>
        <v>0.12331466986848766</v>
      </c>
      <c r="G6" s="166">
        <f>D6/2*$B$12/100</f>
        <v>1.0762263367174121</v>
      </c>
    </row>
    <row r="7" spans="1:7" x14ac:dyDescent="0.2">
      <c r="A7" s="145" t="s">
        <v>157</v>
      </c>
      <c r="B7" s="152">
        <f>B6*180/PI()</f>
        <v>25.84193276316714</v>
      </c>
      <c r="C7" t="s">
        <v>158</v>
      </c>
      <c r="D7" s="165">
        <v>50</v>
      </c>
      <c r="E7" s="139">
        <f t="shared" si="0"/>
        <v>2.5000000000000022</v>
      </c>
      <c r="F7" s="140">
        <f t="shared" ref="F7:F18" si="1">(D7/2)^2/2*($B$12-SIN($B$12))/10000</f>
        <v>0.19267917166951196</v>
      </c>
      <c r="G7" s="166">
        <f t="shared" ref="G7:G18" si="2">D7/2*$B$12/100</f>
        <v>1.3452829208967652</v>
      </c>
    </row>
    <row r="8" spans="1:7" x14ac:dyDescent="0.2">
      <c r="D8" s="165">
        <v>60</v>
      </c>
      <c r="E8" s="139">
        <f t="shared" si="0"/>
        <v>3.0000000000000027</v>
      </c>
      <c r="F8" s="140">
        <f t="shared" si="1"/>
        <v>0.27745800720409719</v>
      </c>
      <c r="G8" s="166">
        <f t="shared" si="2"/>
        <v>1.6143395050761182</v>
      </c>
    </row>
    <row r="9" spans="1:7" x14ac:dyDescent="0.2">
      <c r="A9" s="145" t="s">
        <v>159</v>
      </c>
      <c r="B9" s="152">
        <f>2*B6</f>
        <v>0.90205362359252517</v>
      </c>
      <c r="C9" t="s">
        <v>156</v>
      </c>
      <c r="D9" s="165">
        <v>70</v>
      </c>
      <c r="E9" s="139">
        <f t="shared" si="0"/>
        <v>3.5000000000000031</v>
      </c>
      <c r="F9" s="140">
        <f>(D9/2)^2/2*($B$12-SIN($B$12))/10000</f>
        <v>0.37765117647224344</v>
      </c>
      <c r="G9" s="166">
        <f>D9/2*$B$12/100</f>
        <v>1.8833960892554711</v>
      </c>
    </row>
    <row r="10" spans="1:7" x14ac:dyDescent="0.2">
      <c r="A10" s="145" t="s">
        <v>160</v>
      </c>
      <c r="B10" s="152">
        <f>B9*180/PI()</f>
        <v>51.68386552633428</v>
      </c>
      <c r="C10" t="s">
        <v>158</v>
      </c>
      <c r="D10" s="165">
        <v>80</v>
      </c>
      <c r="E10" s="139">
        <f t="shared" si="0"/>
        <v>4.0000000000000036</v>
      </c>
      <c r="F10" s="140">
        <f t="shared" si="1"/>
        <v>0.49325867947395063</v>
      </c>
      <c r="G10" s="166">
        <f t="shared" si="2"/>
        <v>2.1524526734348242</v>
      </c>
    </row>
    <row r="11" spans="1:7" x14ac:dyDescent="0.2">
      <c r="D11" s="165">
        <v>100</v>
      </c>
      <c r="E11" s="139">
        <f t="shared" si="0"/>
        <v>5.0000000000000044</v>
      </c>
      <c r="F11" s="140">
        <f t="shared" si="1"/>
        <v>0.77071668667804782</v>
      </c>
      <c r="G11" s="166">
        <f t="shared" si="2"/>
        <v>2.6905658417935303</v>
      </c>
    </row>
    <row r="12" spans="1:7" x14ac:dyDescent="0.2">
      <c r="A12" s="145" t="s">
        <v>161</v>
      </c>
      <c r="B12" s="152">
        <f>IF(B4&gt;0.52,2*PI()-B9,2*ACOS(-2*B4+1))</f>
        <v>5.3811316835870606</v>
      </c>
      <c r="D12" s="165">
        <v>120</v>
      </c>
      <c r="E12" s="139">
        <f t="shared" si="0"/>
        <v>6.0000000000000053</v>
      </c>
      <c r="F12" s="140">
        <f t="shared" si="1"/>
        <v>1.1098320288163888</v>
      </c>
      <c r="G12" s="166">
        <f t="shared" si="2"/>
        <v>3.2286790101522365</v>
      </c>
    </row>
    <row r="13" spans="1:7" x14ac:dyDescent="0.2">
      <c r="A13" s="145" t="s">
        <v>162</v>
      </c>
      <c r="B13" s="152">
        <f>B12*180/PI()</f>
        <v>308.31613447366573</v>
      </c>
      <c r="C13" t="s">
        <v>158</v>
      </c>
      <c r="D13" s="165">
        <v>140</v>
      </c>
      <c r="E13" s="139">
        <f t="shared" si="0"/>
        <v>7.0000000000000062</v>
      </c>
      <c r="F13" s="140">
        <f t="shared" si="1"/>
        <v>1.5106047058889738</v>
      </c>
      <c r="G13" s="166">
        <f t="shared" si="2"/>
        <v>3.7667921785109422</v>
      </c>
    </row>
    <row r="14" spans="1:7" x14ac:dyDescent="0.2">
      <c r="D14" s="165">
        <v>150</v>
      </c>
      <c r="E14" s="139">
        <f t="shared" si="0"/>
        <v>7.5000000000000071</v>
      </c>
      <c r="F14" s="140">
        <f t="shared" si="1"/>
        <v>1.7341125450256076</v>
      </c>
      <c r="G14" s="166">
        <f t="shared" si="2"/>
        <v>4.0358487626902955</v>
      </c>
    </row>
    <row r="15" spans="1:7" x14ac:dyDescent="0.2">
      <c r="D15" s="165">
        <v>160</v>
      </c>
      <c r="E15" s="139">
        <f t="shared" si="0"/>
        <v>8.0000000000000071</v>
      </c>
      <c r="F15" s="140">
        <f t="shared" si="1"/>
        <v>1.9730347178958025</v>
      </c>
      <c r="G15" s="166">
        <f t="shared" si="2"/>
        <v>4.3049053468696483</v>
      </c>
    </row>
    <row r="16" spans="1:7" x14ac:dyDescent="0.2">
      <c r="A16" s="192" t="s">
        <v>163</v>
      </c>
      <c r="B16" s="192"/>
      <c r="C16" s="192"/>
      <c r="D16" s="165">
        <v>180</v>
      </c>
      <c r="E16" s="139">
        <f t="shared" si="0"/>
        <v>9.0000000000000071</v>
      </c>
      <c r="F16" s="140">
        <f t="shared" si="1"/>
        <v>2.4971220648368746</v>
      </c>
      <c r="G16" s="166">
        <f t="shared" si="2"/>
        <v>4.8430185152283549</v>
      </c>
    </row>
    <row r="17" spans="1:14" x14ac:dyDescent="0.2">
      <c r="A17" s="192"/>
      <c r="B17" s="192"/>
      <c r="C17" s="192"/>
      <c r="D17" s="165">
        <v>200</v>
      </c>
      <c r="E17" s="139">
        <f t="shared" si="0"/>
        <v>10.000000000000009</v>
      </c>
      <c r="F17" s="140">
        <f t="shared" si="1"/>
        <v>3.0828667467121913</v>
      </c>
      <c r="G17" s="166">
        <f t="shared" si="2"/>
        <v>5.3811316835870606</v>
      </c>
    </row>
    <row r="18" spans="1:14" ht="13.5" thickBot="1" x14ac:dyDescent="0.25">
      <c r="D18" s="167">
        <v>220</v>
      </c>
      <c r="E18" s="139">
        <f t="shared" si="0"/>
        <v>11.000000000000011</v>
      </c>
      <c r="F18" s="140">
        <f t="shared" si="1"/>
        <v>3.7302687635217517</v>
      </c>
      <c r="G18" s="166">
        <f t="shared" si="2"/>
        <v>5.9192448519457663</v>
      </c>
    </row>
    <row r="28" spans="1:14" x14ac:dyDescent="0.2">
      <c r="N28" s="149"/>
    </row>
  </sheetData>
  <mergeCells count="3">
    <mergeCell ref="D2:G2"/>
    <mergeCell ref="D3:F3"/>
    <mergeCell ref="A16:C17"/>
  </mergeCells>
  <pageMargins left="0.78740157480314965" right="0.78740157480314965" top="0.98425196850393704" bottom="0.98425196850393704" header="0.51181102362204722" footer="0.51181102362204722"/>
  <pageSetup paperSize="9" orientation="portrait" horizontalDpi="240" verticalDpi="216" r:id="rId1"/>
  <headerFooter alignWithMargins="0">
    <oddFooter>&amp;L&amp;"Comic Sans MS,Normale"&amp;9ing. Benaglia &amp;D&amp;C&amp;"Comic Sans MS,Normale"&amp;9&amp;F &amp;A&amp;R&amp;"Comic Sans MS,Normale"&amp;9&amp;P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56321" r:id="rId4">
          <objectPr defaultSize="0" autoPict="0" r:id="rId5">
            <anchor moveWithCells="1">
              <from>
                <xdr:col>7</xdr:col>
                <xdr:colOff>228600</xdr:colOff>
                <xdr:row>2</xdr:row>
                <xdr:rowOff>85725</xdr:rowOff>
              </from>
              <to>
                <xdr:col>13</xdr:col>
                <xdr:colOff>66675</xdr:colOff>
                <xdr:row>17</xdr:row>
                <xdr:rowOff>152400</xdr:rowOff>
              </to>
            </anchor>
          </objectPr>
        </oleObject>
      </mc:Choice>
      <mc:Fallback>
        <oleObject progId="Equation.3" shapeId="5632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5</vt:i4>
      </vt:variant>
    </vt:vector>
  </HeadingPairs>
  <TitlesOfParts>
    <vt:vector size="11" baseType="lpstr">
      <vt:lpstr>Calcolo portata Atot&gt;1 Kmq</vt:lpstr>
      <vt:lpstr>Calcolo portata Atot&lt;1 Kmq</vt:lpstr>
      <vt:lpstr>Sezione </vt:lpstr>
      <vt:lpstr>Scatolare</vt:lpstr>
      <vt:lpstr>Tubo circolare</vt:lpstr>
      <vt:lpstr>Dati tubi con vari riempimenti</vt:lpstr>
      <vt:lpstr>'Calcolo portata Atot&lt;1 Kmq'!Area_stampa</vt:lpstr>
      <vt:lpstr>'Calcolo portata Atot&gt;1 Kmq'!Area_stampa</vt:lpstr>
      <vt:lpstr>Scatolare!Area_stampa</vt:lpstr>
      <vt:lpstr>'Sezione '!Area_stampa</vt:lpstr>
      <vt:lpstr>'Tubo circolare'!Area_stampa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Chiara Benaglia</dc:creator>
  <cp:lastModifiedBy>Renato Rivalta</cp:lastModifiedBy>
  <cp:lastPrinted>2023-03-09T15:05:23Z</cp:lastPrinted>
  <dcterms:created xsi:type="dcterms:W3CDTF">1997-05-05T16:50:53Z</dcterms:created>
  <dcterms:modified xsi:type="dcterms:W3CDTF">2026-03-26T08:01:53Z</dcterms:modified>
</cp:coreProperties>
</file>